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https://usdagcc-my.sharepoint.com/personal/molly_burress_usda_gov/Documents/Review/Oil/Yearbook HIstoric/"/>
    </mc:Choice>
  </mc:AlternateContent>
  <xr:revisionPtr revIDLastSave="5" documentId="8_{46E59192-CC1A-48D2-B4AC-1F8F72E915F6}" xr6:coauthVersionLast="45" xr6:coauthVersionMax="45" xr10:uidLastSave="{06353DE1-9BBD-4394-A59E-ABD9A4988D5C}"/>
  <bookViews>
    <workbookView xWindow="-108" yWindow="-108" windowWidth="23256" windowHeight="12576" tabRatio="598" xr2:uid="{00000000-000D-0000-FFFF-FFFF00000000}"/>
  </bookViews>
  <sheets>
    <sheet name="Contents" sheetId="100" r:id="rId1"/>
    <sheet name="tab01" sheetId="1" r:id="rId2"/>
    <sheet name="tab02" sheetId="2" r:id="rId3"/>
    <sheet name="tab3" sheetId="23" r:id="rId4"/>
    <sheet name="tab4" sheetId="22" r:id="rId5"/>
    <sheet name="tab5" sheetId="21" r:id="rId6"/>
    <sheet name="tab6" sheetId="28" r:id="rId7"/>
    <sheet name="tab7" sheetId="27" r:id="rId8"/>
    <sheet name="tab8" sheetId="26" r:id="rId9"/>
    <sheet name="tab 9" sheetId="20" r:id="rId10"/>
    <sheet name="tab 10" sheetId="70" r:id="rId11"/>
    <sheet name="tab 11" sheetId="5" r:id="rId12"/>
    <sheet name="tab 12" sheetId="6" r:id="rId13"/>
    <sheet name="tab 13" sheetId="15" r:id="rId14"/>
    <sheet name="tab 14" sheetId="14" r:id="rId15"/>
    <sheet name="tab 15" sheetId="13" r:id="rId16"/>
    <sheet name="tab 16" sheetId="18" r:id="rId17"/>
    <sheet name="tab 17" sheetId="17" r:id="rId18"/>
    <sheet name="tab 18" sheetId="39" r:id="rId19"/>
    <sheet name="tab 19" sheetId="38" r:id="rId20"/>
    <sheet name="tab20" sheetId="33" r:id="rId21"/>
    <sheet name="tab21" sheetId="32" r:id="rId22"/>
    <sheet name="tab22" sheetId="31" r:id="rId23"/>
    <sheet name="tab23" sheetId="16" r:id="rId24"/>
    <sheet name="tab24" sheetId="47" r:id="rId25"/>
    <sheet name="tab25" sheetId="46" r:id="rId26"/>
    <sheet name="tab26" sheetId="45" r:id="rId27"/>
    <sheet name="tab27" sheetId="10" r:id="rId28"/>
    <sheet name="tab28" sheetId="9" r:id="rId29"/>
    <sheet name="tab29" sheetId="8" r:id="rId30"/>
    <sheet name="tab30" sheetId="24" r:id="rId31"/>
    <sheet name="tab31" sheetId="3" r:id="rId32"/>
    <sheet name="tab32" sheetId="12" r:id="rId33"/>
    <sheet name="tab33(1)" sheetId="97" r:id="rId34"/>
    <sheet name="tab33(2)" sheetId="96" r:id="rId35"/>
    <sheet name="tab33(3)" sheetId="40" r:id="rId36"/>
    <sheet name="tab33(4)" sheetId="83" r:id="rId37"/>
    <sheet name="tab33(5)" sheetId="99" r:id="rId38"/>
    <sheet name="tab33(6)" sheetId="101" r:id="rId39"/>
    <sheet name="tab33(7)" sheetId="102" r:id="rId40"/>
    <sheet name="tab34" sheetId="62" r:id="rId41"/>
    <sheet name="tab35" sheetId="61" r:id="rId42"/>
    <sheet name="tab36" sheetId="103" r:id="rId43"/>
    <sheet name="tab37" sheetId="104" r:id="rId44"/>
    <sheet name="tab38" sheetId="105" r:id="rId45"/>
    <sheet name="tab39" sheetId="106" r:id="rId46"/>
    <sheet name="tab40" sheetId="60" r:id="rId47"/>
    <sheet name="tab41" sheetId="59" r:id="rId48"/>
    <sheet name="tab42" sheetId="58" r:id="rId49"/>
  </sheets>
  <definedNames>
    <definedName name="_xlnm.Print_Area" localSheetId="10">'tab 10'!$A$1:$J$49</definedName>
    <definedName name="_xlnm.Print_Area" localSheetId="11">'tab 11'!$A$1:$L$51</definedName>
    <definedName name="_xlnm.Print_Area" localSheetId="12">'tab 12'!$A$1:$N$47</definedName>
    <definedName name="_xlnm.Print_Area" localSheetId="13">'tab 13'!$A$1:$N$47</definedName>
    <definedName name="_xlnm.Print_Area" localSheetId="14">'tab 14'!$A$1:$N$47</definedName>
    <definedName name="_xlnm.Print_Area" localSheetId="15">'tab 15'!$A$1:$N$47</definedName>
    <definedName name="_xlnm.Print_Area" localSheetId="16">'tab 16'!$A$1:$F$46</definedName>
    <definedName name="_xlnm.Print_Area" localSheetId="17">'tab 17'!$A$1:$K$50</definedName>
    <definedName name="_xlnm.Print_Area" localSheetId="18">'tab 18'!$A$1:$L$50</definedName>
    <definedName name="_xlnm.Print_Area" localSheetId="19">'tab 19'!$A$1:$J$49</definedName>
    <definedName name="_xlnm.Print_Area" localSheetId="9">'tab 9'!$A$1:$P$142</definedName>
    <definedName name="_xlnm.Print_Area" localSheetId="1">'tab01'!$A$1:$D$103</definedName>
    <definedName name="_xlnm.Print_Area" localSheetId="2">'tab02'!$A$1:$H$70</definedName>
    <definedName name="_xlnm.Print_Area" localSheetId="20">'tab20'!$A$1:$N$47</definedName>
    <definedName name="_xlnm.Print_Area" localSheetId="21">'tab21'!$A$1:$L$50</definedName>
    <definedName name="_xlnm.Print_Area" localSheetId="22">'tab22'!$A$1:$J$49</definedName>
    <definedName name="_xlnm.Print_Area" localSheetId="23">'tab23'!$A$1:$K$50</definedName>
    <definedName name="_xlnm.Print_Area" localSheetId="24">'tab24'!$A$1:$P$38</definedName>
    <definedName name="_xlnm.Print_Area" localSheetId="25">'tab25'!$A$1:$K$38</definedName>
    <definedName name="_xlnm.Print_Area" localSheetId="26">'tab26'!$A$1:$K$38</definedName>
    <definedName name="_xlnm.Print_Area" localSheetId="27">'tab27'!$A$1:$F$46</definedName>
    <definedName name="_xlnm.Print_Area" localSheetId="28">'tab28'!$A$1:$M$50</definedName>
    <definedName name="_xlnm.Print_Area" localSheetId="29">'tab29'!$A$1:$J$48</definedName>
    <definedName name="_xlnm.Print_Area" localSheetId="3">'tab3'!$A$1:$K$50</definedName>
    <definedName name="_xlnm.Print_Area" localSheetId="30">'tab30'!$A$1:$I$48</definedName>
    <definedName name="_xlnm.Print_Area" localSheetId="31">'tab31'!$A$1:$O$80</definedName>
    <definedName name="_xlnm.Print_Area" localSheetId="32">'tab32'!$A$1:$K$49</definedName>
    <definedName name="_xlnm.Print_Area" localSheetId="33">'tab33(1)'!$A$1:$N$53</definedName>
    <definedName name="_xlnm.Print_Area" localSheetId="35">'tab33(3)'!$A$1:$N$53</definedName>
    <definedName name="_xlnm.Print_Area" localSheetId="40">'tab34'!$A$1:$L$51</definedName>
    <definedName name="_xlnm.Print_Area" localSheetId="41">'tab35'!$A$1:$L$50</definedName>
    <definedName name="_xlnm.Print_Area" localSheetId="42">'tab36'!$A$1:$M$71</definedName>
    <definedName name="_xlnm.Print_Area" localSheetId="4">'tab4'!$A$1:$K$50</definedName>
    <definedName name="_xlnm.Print_Area" localSheetId="46">'tab40'!$A$1:$G$52</definedName>
    <definedName name="_xlnm.Print_Area" localSheetId="47">'tab41'!$A$1:$G$62</definedName>
    <definedName name="_xlnm.Print_Area" localSheetId="48">'tab42'!$A$1:$G$57</definedName>
    <definedName name="_xlnm.Print_Area" localSheetId="5">'tab5'!$A$1:$K$49</definedName>
    <definedName name="_xlnm.Print_Area" localSheetId="6">'tab6'!$A$77:$J$176</definedName>
    <definedName name="_xlnm.Print_Area" localSheetId="7">'tab7'!$A$1:$I$107</definedName>
    <definedName name="_xlnm.Print_Area" localSheetId="8">'tab8'!$A$1:$J$107</definedName>
    <definedName name="_xlnm.Print_Titles" localSheetId="6">'tab6'!$1:$6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4" l="1"/>
  <c r="J43" i="14"/>
  <c r="J42" i="14"/>
  <c r="J41" i="14"/>
  <c r="J41" i="13" s="1"/>
  <c r="J40" i="14"/>
  <c r="J39" i="14"/>
  <c r="J38" i="14"/>
  <c r="J38" i="13" s="1"/>
  <c r="J37" i="14"/>
  <c r="J36" i="14"/>
  <c r="J35" i="14"/>
  <c r="J35" i="13" s="1"/>
  <c r="J34" i="14"/>
  <c r="J33" i="14"/>
  <c r="J32" i="14"/>
  <c r="J32" i="13" s="1"/>
  <c r="J31" i="14"/>
  <c r="J30" i="14"/>
  <c r="J30" i="13" s="1"/>
  <c r="J29" i="14"/>
  <c r="J28" i="14"/>
  <c r="J27" i="14"/>
  <c r="J27" i="13" s="1"/>
  <c r="J26" i="14"/>
  <c r="J25" i="14"/>
  <c r="J24" i="14"/>
  <c r="J24" i="13" s="1"/>
  <c r="J23" i="14"/>
  <c r="J22" i="14"/>
  <c r="J22" i="13" s="1"/>
  <c r="J21" i="14"/>
  <c r="J20" i="14"/>
  <c r="J19" i="14"/>
  <c r="J19" i="13" s="1"/>
  <c r="J18" i="14"/>
  <c r="J17" i="14"/>
  <c r="J17" i="13" s="1"/>
  <c r="J16" i="14"/>
  <c r="J16" i="13" s="1"/>
  <c r="J15" i="14"/>
  <c r="J14" i="14"/>
  <c r="J14" i="13" s="1"/>
  <c r="J13" i="14"/>
  <c r="J12" i="14"/>
  <c r="J11" i="14"/>
  <c r="J11" i="13" s="1"/>
  <c r="J10" i="14"/>
  <c r="J9" i="14"/>
  <c r="J9" i="13" s="1"/>
  <c r="J8" i="14"/>
  <c r="J8" i="13" s="1"/>
  <c r="J7" i="14"/>
  <c r="J6" i="14"/>
  <c r="C6" i="13"/>
  <c r="D6" i="13"/>
  <c r="E6" i="13"/>
  <c r="G6" i="13"/>
  <c r="H6" i="13"/>
  <c r="I6" i="13"/>
  <c r="K6" i="13"/>
  <c r="L6" i="13"/>
  <c r="C7" i="13"/>
  <c r="D7" i="13"/>
  <c r="E7" i="13"/>
  <c r="G7" i="13"/>
  <c r="H7" i="13"/>
  <c r="I7" i="13"/>
  <c r="K7" i="13"/>
  <c r="L7" i="13"/>
  <c r="C8" i="13"/>
  <c r="D8" i="13"/>
  <c r="E8" i="13"/>
  <c r="G8" i="13"/>
  <c r="H8" i="13"/>
  <c r="I8" i="13"/>
  <c r="K8" i="13"/>
  <c r="L8" i="13"/>
  <c r="C9" i="13"/>
  <c r="D9" i="13"/>
  <c r="E9" i="13"/>
  <c r="G9" i="13"/>
  <c r="H9" i="13"/>
  <c r="I9" i="13"/>
  <c r="K9" i="13"/>
  <c r="L9" i="13"/>
  <c r="M9" i="13"/>
  <c r="C10" i="13"/>
  <c r="D10" i="13"/>
  <c r="E10" i="13"/>
  <c r="G10" i="13"/>
  <c r="H10" i="13"/>
  <c r="I10" i="13"/>
  <c r="K10" i="13"/>
  <c r="L10" i="13"/>
  <c r="C11" i="13"/>
  <c r="D11" i="13"/>
  <c r="E11" i="13"/>
  <c r="G11" i="13"/>
  <c r="H11" i="13"/>
  <c r="I11" i="13"/>
  <c r="K11" i="13"/>
  <c r="L11" i="13"/>
  <c r="M11" i="13"/>
  <c r="C12" i="13"/>
  <c r="D12" i="13"/>
  <c r="E12" i="13"/>
  <c r="G12" i="13"/>
  <c r="H12" i="13"/>
  <c r="I12" i="13"/>
  <c r="K12" i="13"/>
  <c r="L12" i="13"/>
  <c r="C13" i="13"/>
  <c r="D13" i="13"/>
  <c r="E13" i="13"/>
  <c r="G13" i="13"/>
  <c r="H13" i="13"/>
  <c r="I13" i="13"/>
  <c r="K13" i="13"/>
  <c r="L13" i="13"/>
  <c r="C14" i="13"/>
  <c r="D14" i="13"/>
  <c r="E14" i="13"/>
  <c r="G14" i="13"/>
  <c r="H14" i="13"/>
  <c r="I14" i="13"/>
  <c r="K14" i="13"/>
  <c r="L14" i="13"/>
  <c r="C15" i="13"/>
  <c r="D15" i="13"/>
  <c r="E15" i="13"/>
  <c r="G15" i="13"/>
  <c r="H15" i="13"/>
  <c r="I15" i="13"/>
  <c r="K15" i="13"/>
  <c r="L15" i="13"/>
  <c r="C16" i="13"/>
  <c r="D16" i="13"/>
  <c r="E16" i="13"/>
  <c r="G16" i="13"/>
  <c r="H16" i="13"/>
  <c r="I16" i="13"/>
  <c r="K16" i="13"/>
  <c r="L16" i="13"/>
  <c r="C17" i="13"/>
  <c r="D17" i="13"/>
  <c r="E17" i="13"/>
  <c r="G17" i="13"/>
  <c r="H17" i="13"/>
  <c r="I17" i="13"/>
  <c r="K17" i="13"/>
  <c r="L17" i="13"/>
  <c r="M17" i="13"/>
  <c r="C18" i="13"/>
  <c r="D18" i="13"/>
  <c r="E18" i="13"/>
  <c r="G18" i="13"/>
  <c r="H18" i="13"/>
  <c r="I18" i="13"/>
  <c r="K18" i="13"/>
  <c r="L18" i="13"/>
  <c r="C19" i="13"/>
  <c r="D19" i="13"/>
  <c r="E19" i="13"/>
  <c r="G19" i="13"/>
  <c r="H19" i="13"/>
  <c r="I19" i="13"/>
  <c r="K19" i="13"/>
  <c r="L19" i="13"/>
  <c r="C20" i="13"/>
  <c r="D20" i="13"/>
  <c r="E20" i="13"/>
  <c r="G20" i="13"/>
  <c r="H20" i="13"/>
  <c r="I20" i="13"/>
  <c r="K20" i="13"/>
  <c r="L20" i="13"/>
  <c r="C21" i="13"/>
  <c r="D21" i="13"/>
  <c r="E21" i="13"/>
  <c r="G21" i="13"/>
  <c r="H21" i="13"/>
  <c r="I21" i="13"/>
  <c r="K21" i="13"/>
  <c r="L21" i="13"/>
  <c r="C22" i="13"/>
  <c r="D22" i="13"/>
  <c r="E22" i="13"/>
  <c r="G22" i="13"/>
  <c r="H22" i="13"/>
  <c r="I22" i="13"/>
  <c r="K22" i="13"/>
  <c r="L22" i="13"/>
  <c r="C23" i="13"/>
  <c r="D23" i="13"/>
  <c r="E23" i="13"/>
  <c r="G23" i="13"/>
  <c r="H23" i="13"/>
  <c r="I23" i="13"/>
  <c r="K23" i="13"/>
  <c r="L23" i="13"/>
  <c r="C24" i="13"/>
  <c r="D24" i="13"/>
  <c r="E24" i="13"/>
  <c r="G24" i="13"/>
  <c r="H24" i="13"/>
  <c r="I24" i="13"/>
  <c r="K24" i="13"/>
  <c r="L24" i="13"/>
  <c r="C25" i="13"/>
  <c r="D25" i="13"/>
  <c r="E25" i="13"/>
  <c r="G25" i="13"/>
  <c r="H25" i="13"/>
  <c r="I25" i="13"/>
  <c r="J25" i="13"/>
  <c r="K25" i="13"/>
  <c r="L25" i="13"/>
  <c r="C26" i="13"/>
  <c r="D26" i="13"/>
  <c r="E26" i="13"/>
  <c r="G26" i="13"/>
  <c r="H26" i="13"/>
  <c r="I26" i="13"/>
  <c r="K26" i="13"/>
  <c r="L26" i="13"/>
  <c r="C27" i="13"/>
  <c r="D27" i="13"/>
  <c r="E27" i="13"/>
  <c r="G27" i="13"/>
  <c r="H27" i="13"/>
  <c r="I27" i="13"/>
  <c r="K27" i="13"/>
  <c r="L27" i="13"/>
  <c r="C28" i="13"/>
  <c r="D28" i="13"/>
  <c r="E28" i="13"/>
  <c r="G28" i="13"/>
  <c r="H28" i="13"/>
  <c r="I28" i="13"/>
  <c r="K28" i="13"/>
  <c r="L28" i="13"/>
  <c r="C29" i="13"/>
  <c r="D29" i="13"/>
  <c r="E29" i="13"/>
  <c r="G29" i="13"/>
  <c r="H29" i="13"/>
  <c r="I29" i="13"/>
  <c r="J29" i="13"/>
  <c r="K29" i="13"/>
  <c r="L29" i="13"/>
  <c r="C30" i="13"/>
  <c r="D30" i="13"/>
  <c r="E30" i="13"/>
  <c r="G30" i="13"/>
  <c r="H30" i="13"/>
  <c r="I30" i="13"/>
  <c r="K30" i="13"/>
  <c r="L30" i="13"/>
  <c r="M30" i="13"/>
  <c r="C31" i="13"/>
  <c r="D31" i="13"/>
  <c r="E31" i="13"/>
  <c r="G31" i="13"/>
  <c r="H31" i="13"/>
  <c r="I31" i="13"/>
  <c r="K31" i="13"/>
  <c r="L31" i="13"/>
  <c r="C32" i="13"/>
  <c r="D32" i="13"/>
  <c r="E32" i="13"/>
  <c r="G32" i="13"/>
  <c r="H32" i="13"/>
  <c r="I32" i="13"/>
  <c r="K32" i="13"/>
  <c r="L32" i="13"/>
  <c r="C33" i="13"/>
  <c r="D33" i="13"/>
  <c r="E33" i="13"/>
  <c r="G33" i="13"/>
  <c r="H33" i="13"/>
  <c r="I33" i="13"/>
  <c r="J33" i="13"/>
  <c r="K33" i="13"/>
  <c r="L33" i="13"/>
  <c r="C34" i="13"/>
  <c r="D34" i="13"/>
  <c r="E34" i="13"/>
  <c r="G34" i="13"/>
  <c r="H34" i="13"/>
  <c r="I34" i="13"/>
  <c r="K34" i="13"/>
  <c r="L34" i="13"/>
  <c r="C35" i="13"/>
  <c r="D35" i="13"/>
  <c r="E35" i="13"/>
  <c r="G35" i="13"/>
  <c r="H35" i="13"/>
  <c r="I35" i="13"/>
  <c r="K35" i="13"/>
  <c r="L35" i="13"/>
  <c r="C36" i="13"/>
  <c r="D36" i="13"/>
  <c r="E36" i="13"/>
  <c r="G36" i="13"/>
  <c r="H36" i="13"/>
  <c r="I36" i="13"/>
  <c r="K36" i="13"/>
  <c r="L36" i="13"/>
  <c r="C37" i="13"/>
  <c r="D37" i="13"/>
  <c r="E37" i="13"/>
  <c r="G37" i="13"/>
  <c r="H37" i="13"/>
  <c r="I37" i="13"/>
  <c r="K37" i="13"/>
  <c r="L37" i="13"/>
  <c r="C38" i="13"/>
  <c r="D38" i="13"/>
  <c r="E38" i="13"/>
  <c r="G38" i="13"/>
  <c r="H38" i="13"/>
  <c r="I38" i="13"/>
  <c r="K38" i="13"/>
  <c r="L38" i="13"/>
  <c r="C39" i="13"/>
  <c r="D39" i="13"/>
  <c r="E39" i="13"/>
  <c r="G39" i="13"/>
  <c r="H39" i="13"/>
  <c r="I39" i="13"/>
  <c r="K39" i="13"/>
  <c r="L39" i="13"/>
  <c r="C40" i="13"/>
  <c r="D40" i="13"/>
  <c r="E40" i="13"/>
  <c r="G40" i="13"/>
  <c r="H40" i="13"/>
  <c r="I40" i="13"/>
  <c r="J40" i="13"/>
  <c r="K40" i="13"/>
  <c r="L40" i="13"/>
  <c r="C41" i="13"/>
  <c r="D41" i="13"/>
  <c r="E41" i="13"/>
  <c r="G41" i="13"/>
  <c r="H41" i="13"/>
  <c r="I41" i="13"/>
  <c r="K41" i="13"/>
  <c r="L41" i="13"/>
  <c r="M41" i="13"/>
  <c r="C42" i="13"/>
  <c r="D42" i="13"/>
  <c r="E42" i="13"/>
  <c r="F42" i="13"/>
  <c r="G42" i="13"/>
  <c r="H42" i="13"/>
  <c r="I42" i="13"/>
  <c r="K42" i="13"/>
  <c r="L42" i="13"/>
  <c r="M42" i="13"/>
  <c r="C43" i="13"/>
  <c r="D43" i="13"/>
  <c r="E43" i="13"/>
  <c r="G43" i="13"/>
  <c r="H43" i="13"/>
  <c r="I43" i="13"/>
  <c r="K43" i="13"/>
  <c r="L43" i="13"/>
  <c r="C44" i="13"/>
  <c r="D44" i="13"/>
  <c r="E44" i="13"/>
  <c r="G44" i="13"/>
  <c r="H44" i="13"/>
  <c r="I44" i="13"/>
  <c r="J44" i="13"/>
  <c r="K44" i="13"/>
  <c r="L44" i="13"/>
  <c r="F44" i="14"/>
  <c r="F44" i="13" s="1"/>
  <c r="F43" i="14"/>
  <c r="F43" i="13" s="1"/>
  <c r="F42" i="14"/>
  <c r="F41" i="14"/>
  <c r="F41" i="13" s="1"/>
  <c r="F40" i="14"/>
  <c r="F40" i="13" s="1"/>
  <c r="F39" i="14"/>
  <c r="F38" i="14"/>
  <c r="F37" i="14"/>
  <c r="F36" i="14"/>
  <c r="F36" i="13" s="1"/>
  <c r="F35" i="14"/>
  <c r="F35" i="13" s="1"/>
  <c r="F34" i="14"/>
  <c r="F33" i="14"/>
  <c r="F33" i="13" s="1"/>
  <c r="F32" i="14"/>
  <c r="F32" i="13" s="1"/>
  <c r="F31" i="14"/>
  <c r="F30" i="14"/>
  <c r="F29" i="14"/>
  <c r="F28" i="14"/>
  <c r="F28" i="13" s="1"/>
  <c r="F27" i="14"/>
  <c r="F27" i="13" s="1"/>
  <c r="F26" i="14"/>
  <c r="F25" i="14"/>
  <c r="F25" i="13" s="1"/>
  <c r="F24" i="14"/>
  <c r="F24" i="13" s="1"/>
  <c r="F23" i="14"/>
  <c r="F22" i="14"/>
  <c r="F21" i="14"/>
  <c r="F20" i="14"/>
  <c r="F20" i="13" s="1"/>
  <c r="F19" i="14"/>
  <c r="F19" i="13" s="1"/>
  <c r="F18" i="14"/>
  <c r="F17" i="14"/>
  <c r="F17" i="13" s="1"/>
  <c r="F16" i="14"/>
  <c r="F16" i="13" s="1"/>
  <c r="F15" i="14"/>
  <c r="F14" i="14"/>
  <c r="F13" i="14"/>
  <c r="F12" i="14"/>
  <c r="F12" i="13" s="1"/>
  <c r="F11" i="14"/>
  <c r="F11" i="13" s="1"/>
  <c r="F10" i="14"/>
  <c r="F9" i="14"/>
  <c r="F9" i="13" s="1"/>
  <c r="F8" i="14"/>
  <c r="F8" i="13" s="1"/>
  <c r="F7" i="14"/>
  <c r="F6" i="14"/>
  <c r="M44" i="14"/>
  <c r="M44" i="13" s="1"/>
  <c r="M43" i="14"/>
  <c r="M43" i="13" s="1"/>
  <c r="M42" i="14"/>
  <c r="M41" i="14"/>
  <c r="M40" i="14"/>
  <c r="M40" i="13" s="1"/>
  <c r="M39" i="14"/>
  <c r="M39" i="13" s="1"/>
  <c r="M38" i="14"/>
  <c r="M38" i="13" s="1"/>
  <c r="M37" i="14"/>
  <c r="M36" i="14"/>
  <c r="M36" i="13" s="1"/>
  <c r="M35" i="14"/>
  <c r="M35" i="13" s="1"/>
  <c r="M34" i="14"/>
  <c r="M34" i="13" s="1"/>
  <c r="M33" i="14"/>
  <c r="M32" i="14"/>
  <c r="M32" i="13" s="1"/>
  <c r="M31" i="14"/>
  <c r="M31" i="13" s="1"/>
  <c r="M30" i="14"/>
  <c r="M29" i="14"/>
  <c r="M28" i="14"/>
  <c r="M28" i="13" s="1"/>
  <c r="M27" i="14"/>
  <c r="M27" i="13" s="1"/>
  <c r="M26" i="14"/>
  <c r="M26" i="13" s="1"/>
  <c r="M25" i="14"/>
  <c r="M24" i="14"/>
  <c r="M24" i="13" s="1"/>
  <c r="M23" i="14"/>
  <c r="M23" i="13" s="1"/>
  <c r="M22" i="14"/>
  <c r="M22" i="13" s="1"/>
  <c r="M21" i="14"/>
  <c r="M20" i="14"/>
  <c r="M20" i="13" s="1"/>
  <c r="M19" i="14"/>
  <c r="M19" i="13" s="1"/>
  <c r="M18" i="14"/>
  <c r="M18" i="13" s="1"/>
  <c r="M17" i="14"/>
  <c r="M16" i="14"/>
  <c r="M16" i="13" s="1"/>
  <c r="M15" i="14"/>
  <c r="M15" i="13" s="1"/>
  <c r="M14" i="14"/>
  <c r="M14" i="13" s="1"/>
  <c r="M13" i="14"/>
  <c r="M12" i="14"/>
  <c r="M12" i="13" s="1"/>
  <c r="M11" i="14"/>
  <c r="M10" i="14"/>
  <c r="M10" i="13" s="1"/>
  <c r="M9" i="14"/>
  <c r="M8" i="14"/>
  <c r="M8" i="13" s="1"/>
  <c r="M7" i="14"/>
  <c r="M7" i="13" s="1"/>
  <c r="M6" i="14"/>
  <c r="M6" i="13" s="1"/>
  <c r="J44" i="15"/>
  <c r="J43" i="15"/>
  <c r="J42" i="15"/>
  <c r="J42" i="13" s="1"/>
  <c r="J41" i="15"/>
  <c r="J40" i="15"/>
  <c r="J39" i="15"/>
  <c r="J38" i="15"/>
  <c r="J37" i="15"/>
  <c r="J37" i="13" s="1"/>
  <c r="J36" i="15"/>
  <c r="J36" i="13" s="1"/>
  <c r="J35" i="15"/>
  <c r="J34" i="15"/>
  <c r="J34" i="13" s="1"/>
  <c r="J33" i="15"/>
  <c r="J32" i="15"/>
  <c r="J31" i="15"/>
  <c r="J30" i="15"/>
  <c r="J29" i="15"/>
  <c r="J28" i="15"/>
  <c r="J28" i="13" s="1"/>
  <c r="J27" i="15"/>
  <c r="J26" i="15"/>
  <c r="J26" i="13" s="1"/>
  <c r="J25" i="15"/>
  <c r="J24" i="15"/>
  <c r="J23" i="15"/>
  <c r="J22" i="15"/>
  <c r="J21" i="15"/>
  <c r="J21" i="13" s="1"/>
  <c r="J20" i="15"/>
  <c r="J20" i="13" s="1"/>
  <c r="J19" i="15"/>
  <c r="J18" i="15"/>
  <c r="J18" i="13" s="1"/>
  <c r="J17" i="15"/>
  <c r="J16" i="15"/>
  <c r="J15" i="15"/>
  <c r="J14" i="15"/>
  <c r="J13" i="15"/>
  <c r="J13" i="13" s="1"/>
  <c r="J12" i="15"/>
  <c r="J12" i="13" s="1"/>
  <c r="J11" i="15"/>
  <c r="J10" i="15"/>
  <c r="J10" i="13" s="1"/>
  <c r="J9" i="15"/>
  <c r="J8" i="15"/>
  <c r="J7" i="15"/>
  <c r="J6" i="15"/>
  <c r="M6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44" i="15"/>
  <c r="F43" i="15"/>
  <c r="F42" i="15"/>
  <c r="F41" i="15"/>
  <c r="F40" i="15"/>
  <c r="F39" i="15"/>
  <c r="F38" i="15"/>
  <c r="F37" i="15"/>
  <c r="F37" i="13" s="1"/>
  <c r="F36" i="15"/>
  <c r="F35" i="15"/>
  <c r="F34" i="15"/>
  <c r="F34" i="13" s="1"/>
  <c r="F33" i="15"/>
  <c r="F32" i="15"/>
  <c r="F31" i="15"/>
  <c r="F30" i="15"/>
  <c r="F29" i="15"/>
  <c r="F28" i="15"/>
  <c r="F27" i="15"/>
  <c r="F26" i="15"/>
  <c r="F26" i="13" s="1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M44" i="15"/>
  <c r="M43" i="15"/>
  <c r="M42" i="15"/>
  <c r="M41" i="15"/>
  <c r="M40" i="15"/>
  <c r="M39" i="15"/>
  <c r="M38" i="15"/>
  <c r="M37" i="15"/>
  <c r="M37" i="13" s="1"/>
  <c r="M36" i="15"/>
  <c r="M35" i="15"/>
  <c r="M34" i="15"/>
  <c r="M33" i="15"/>
  <c r="M33" i="13" s="1"/>
  <c r="M32" i="15"/>
  <c r="M31" i="15"/>
  <c r="M30" i="15"/>
  <c r="M29" i="15"/>
  <c r="M29" i="13" s="1"/>
  <c r="M28" i="15"/>
  <c r="M27" i="15"/>
  <c r="M26" i="15"/>
  <c r="M25" i="15"/>
  <c r="M25" i="13" s="1"/>
  <c r="M24" i="15"/>
  <c r="M23" i="15"/>
  <c r="M22" i="15"/>
  <c r="M21" i="15"/>
  <c r="M21" i="13" s="1"/>
  <c r="M20" i="15"/>
  <c r="M19" i="15"/>
  <c r="M18" i="15"/>
  <c r="M17" i="15"/>
  <c r="M16" i="15"/>
  <c r="M15" i="15"/>
  <c r="M14" i="15"/>
  <c r="M13" i="15"/>
  <c r="M13" i="13" s="1"/>
  <c r="M12" i="15"/>
  <c r="M11" i="15"/>
  <c r="M10" i="15"/>
  <c r="M9" i="15"/>
  <c r="M8" i="15"/>
  <c r="M7" i="15"/>
  <c r="M6" i="15"/>
  <c r="J39" i="13" l="1"/>
  <c r="J6" i="13"/>
  <c r="J7" i="13"/>
  <c r="J15" i="13"/>
  <c r="J23" i="13"/>
  <c r="J31" i="13"/>
  <c r="F13" i="13"/>
  <c r="F21" i="13"/>
  <c r="F29" i="13"/>
  <c r="F6" i="13"/>
  <c r="F14" i="13"/>
  <c r="F22" i="13"/>
  <c r="F30" i="13"/>
  <c r="F38" i="13"/>
  <c r="F7" i="13"/>
  <c r="F15" i="13"/>
  <c r="F23" i="13"/>
  <c r="F31" i="13"/>
  <c r="F39" i="13"/>
  <c r="J43" i="13"/>
  <c r="F10" i="13"/>
  <c r="F18" i="13"/>
  <c r="N6" i="14"/>
  <c r="C29" i="106"/>
  <c r="D29" i="106"/>
  <c r="E29" i="106"/>
  <c r="F29" i="106"/>
  <c r="G29" i="106"/>
  <c r="H29" i="106"/>
  <c r="B29" i="106"/>
  <c r="C29" i="105"/>
  <c r="D29" i="105"/>
  <c r="E29" i="105"/>
  <c r="F29" i="105"/>
  <c r="G29" i="105"/>
  <c r="H29" i="105"/>
  <c r="B29" i="105"/>
  <c r="C29" i="104"/>
  <c r="D29" i="104"/>
  <c r="E29" i="104"/>
  <c r="F29" i="104"/>
  <c r="G29" i="104"/>
  <c r="H29" i="104"/>
  <c r="B29" i="104"/>
  <c r="G116" i="28" l="1"/>
  <c r="L32" i="103"/>
  <c r="L36" i="103"/>
  <c r="L31" i="103"/>
  <c r="L51" i="103"/>
  <c r="L22" i="103"/>
  <c r="M11" i="103"/>
  <c r="M21" i="103"/>
  <c r="E44" i="103"/>
  <c r="E47" i="103"/>
  <c r="F40" i="103" l="1"/>
  <c r="H54" i="58"/>
  <c r="H44" i="58"/>
  <c r="H34" i="58"/>
  <c r="H24" i="58"/>
  <c r="H14" i="58"/>
  <c r="H59" i="59"/>
  <c r="H48" i="59"/>
  <c r="H37" i="59"/>
  <c r="H26" i="59"/>
  <c r="H15" i="59"/>
  <c r="H49" i="60"/>
  <c r="H40" i="60"/>
  <c r="H31" i="60"/>
  <c r="H22" i="60"/>
  <c r="H13" i="60"/>
  <c r="F64" i="2"/>
  <c r="B45" i="12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B77" i="3"/>
  <c r="B45" i="24"/>
  <c r="F45" i="8"/>
  <c r="B45" i="8"/>
  <c r="D43" i="10"/>
  <c r="B34" i="45"/>
  <c r="B34" i="46"/>
  <c r="E35" i="47"/>
  <c r="D34" i="47"/>
  <c r="B46" i="32"/>
  <c r="D43" i="33"/>
  <c r="N43" i="14"/>
  <c r="N44" i="14"/>
  <c r="N44" i="15"/>
  <c r="N44" i="13" l="1"/>
  <c r="E43" i="70"/>
  <c r="C46" i="5" s="1"/>
  <c r="E46" i="5" s="1"/>
  <c r="J46" i="5" s="1"/>
  <c r="I46" i="5" s="1"/>
  <c r="J126" i="20"/>
  <c r="J127" i="20"/>
  <c r="J130" i="20"/>
  <c r="J131" i="20"/>
  <c r="J134" i="20"/>
  <c r="J135" i="20"/>
  <c r="H137" i="20"/>
  <c r="H136" i="20"/>
  <c r="J136" i="20" s="1"/>
  <c r="H135" i="20"/>
  <c r="H134" i="20"/>
  <c r="H133" i="20"/>
  <c r="J133" i="20" s="1"/>
  <c r="H132" i="20"/>
  <c r="J132" i="20" s="1"/>
  <c r="H131" i="20"/>
  <c r="H130" i="20"/>
  <c r="H129" i="20"/>
  <c r="J129" i="20" s="1"/>
  <c r="H128" i="20"/>
  <c r="J128" i="20" s="1"/>
  <c r="H127" i="20"/>
  <c r="H126" i="20"/>
  <c r="H125" i="20"/>
  <c r="J125" i="20" s="1"/>
  <c r="G136" i="20"/>
  <c r="G133" i="20"/>
  <c r="G132" i="20"/>
  <c r="G130" i="20"/>
  <c r="G129" i="20"/>
  <c r="G128" i="20"/>
  <c r="G125" i="20"/>
  <c r="F123" i="20"/>
  <c r="E137" i="20"/>
  <c r="E136" i="20"/>
  <c r="E135" i="20"/>
  <c r="G135" i="20" s="1"/>
  <c r="E134" i="20"/>
  <c r="G134" i="20" s="1"/>
  <c r="E133" i="20"/>
  <c r="E132" i="20"/>
  <c r="E131" i="20"/>
  <c r="G131" i="20" s="1"/>
  <c r="E130" i="20"/>
  <c r="E129" i="20"/>
  <c r="E128" i="20"/>
  <c r="E127" i="20"/>
  <c r="G127" i="20" s="1"/>
  <c r="E126" i="20"/>
  <c r="G126" i="20" s="1"/>
  <c r="E125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36" i="20"/>
  <c r="D136" i="20" s="1"/>
  <c r="B135" i="20"/>
  <c r="D135" i="20" s="1"/>
  <c r="B134" i="20"/>
  <c r="D134" i="20" s="1"/>
  <c r="B133" i="20"/>
  <c r="D133" i="20" s="1"/>
  <c r="B132" i="20"/>
  <c r="D132" i="20" s="1"/>
  <c r="B131" i="20"/>
  <c r="D131" i="20" s="1"/>
  <c r="B130" i="20"/>
  <c r="D130" i="20" s="1"/>
  <c r="B129" i="20"/>
  <c r="D129" i="20" s="1"/>
  <c r="K129" i="20" s="1"/>
  <c r="B128" i="20"/>
  <c r="D128" i="20" s="1"/>
  <c r="B127" i="20"/>
  <c r="D127" i="20" s="1"/>
  <c r="B126" i="20"/>
  <c r="D126" i="20" s="1"/>
  <c r="B125" i="20"/>
  <c r="D125" i="20"/>
  <c r="C137" i="20"/>
  <c r="C123" i="20"/>
  <c r="B137" i="20"/>
  <c r="B123" i="20"/>
  <c r="H104" i="26"/>
  <c r="G104" i="26"/>
  <c r="G44" i="21" s="1"/>
  <c r="D104" i="26"/>
  <c r="C104" i="26"/>
  <c r="E104" i="26" s="1"/>
  <c r="I93" i="26"/>
  <c r="F93" i="26" s="1"/>
  <c r="I94" i="26"/>
  <c r="I95" i="26"/>
  <c r="I96" i="26"/>
  <c r="F96" i="26" s="1"/>
  <c r="I97" i="26"/>
  <c r="F97" i="26" s="1"/>
  <c r="I98" i="26"/>
  <c r="F98" i="26" s="1"/>
  <c r="I99" i="26"/>
  <c r="F99" i="26" s="1"/>
  <c r="I100" i="26"/>
  <c r="F100" i="26" s="1"/>
  <c r="I101" i="26"/>
  <c r="F101" i="26" s="1"/>
  <c r="I102" i="26"/>
  <c r="I103" i="26"/>
  <c r="I92" i="26"/>
  <c r="F92" i="26" s="1"/>
  <c r="F94" i="26"/>
  <c r="F95" i="26"/>
  <c r="F102" i="26"/>
  <c r="F103" i="26"/>
  <c r="M135" i="20" l="1"/>
  <c r="K136" i="20"/>
  <c r="O136" i="20" s="1"/>
  <c r="M136" i="20"/>
  <c r="L125" i="20"/>
  <c r="K127" i="20"/>
  <c r="O127" i="20" s="1"/>
  <c r="L127" i="20"/>
  <c r="L129" i="20"/>
  <c r="O129" i="20"/>
  <c r="L130" i="20"/>
  <c r="K133" i="20"/>
  <c r="O133" i="20" s="1"/>
  <c r="M129" i="20"/>
  <c r="K135" i="20"/>
  <c r="O135" i="20" s="1"/>
  <c r="L135" i="20"/>
  <c r="K128" i="20"/>
  <c r="O128" i="20" s="1"/>
  <c r="L128" i="20"/>
  <c r="K132" i="20"/>
  <c r="M132" i="20"/>
  <c r="M133" i="20"/>
  <c r="K131" i="20"/>
  <c r="O131" i="20" s="1"/>
  <c r="K126" i="20"/>
  <c r="O126" i="20" s="1"/>
  <c r="L126" i="20"/>
  <c r="K134" i="20"/>
  <c r="O134" i="20" s="1"/>
  <c r="L134" i="20"/>
  <c r="M126" i="20"/>
  <c r="M134" i="20"/>
  <c r="M130" i="20"/>
  <c r="K130" i="20"/>
  <c r="O130" i="20" s="1"/>
  <c r="K125" i="20"/>
  <c r="O125" i="20" s="1"/>
  <c r="F104" i="26"/>
  <c r="I104" i="26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G89" i="27"/>
  <c r="G88" i="27"/>
  <c r="G87" i="27"/>
  <c r="G86" i="27"/>
  <c r="G85" i="27"/>
  <c r="G84" i="27"/>
  <c r="G83" i="27"/>
  <c r="G82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E95" i="27"/>
  <c r="H95" i="27" s="1"/>
  <c r="E101" i="27"/>
  <c r="E102" i="27"/>
  <c r="H102" i="27" s="1"/>
  <c r="E103" i="27"/>
  <c r="H103" i="27" s="1"/>
  <c r="D103" i="27"/>
  <c r="D102" i="27"/>
  <c r="D101" i="27"/>
  <c r="D100" i="27"/>
  <c r="E100" i="27" s="1"/>
  <c r="H100" i="27" s="1"/>
  <c r="D99" i="27"/>
  <c r="E99" i="27" s="1"/>
  <c r="D98" i="27"/>
  <c r="E98" i="27" s="1"/>
  <c r="D97" i="27"/>
  <c r="E97" i="27" s="1"/>
  <c r="D96" i="27"/>
  <c r="E96" i="27" s="1"/>
  <c r="H96" i="27" s="1"/>
  <c r="D95" i="27"/>
  <c r="D94" i="27"/>
  <c r="E94" i="27" s="1"/>
  <c r="H94" i="27" s="1"/>
  <c r="D93" i="27"/>
  <c r="E93" i="27" s="1"/>
  <c r="H93" i="27" s="1"/>
  <c r="D92" i="27"/>
  <c r="B46" i="23"/>
  <c r="M40" i="103"/>
  <c r="E41" i="103"/>
  <c r="E42" i="103"/>
  <c r="B40" i="103"/>
  <c r="C40" i="103"/>
  <c r="D40" i="103"/>
  <c r="E40" i="103"/>
  <c r="E45" i="103"/>
  <c r="E46" i="103"/>
  <c r="L11" i="103"/>
  <c r="B50" i="103"/>
  <c r="C50" i="103"/>
  <c r="D50" i="103"/>
  <c r="E50" i="103"/>
  <c r="F50" i="103"/>
  <c r="E51" i="103"/>
  <c r="E52" i="103"/>
  <c r="E54" i="103"/>
  <c r="E55" i="103"/>
  <c r="E56" i="103"/>
  <c r="L21" i="103" s="1"/>
  <c r="B59" i="103"/>
  <c r="C59" i="103"/>
  <c r="D59" i="103"/>
  <c r="E59" i="103"/>
  <c r="F59" i="103"/>
  <c r="E60" i="103"/>
  <c r="E61" i="103"/>
  <c r="E63" i="103"/>
  <c r="E64" i="103"/>
  <c r="E65" i="103"/>
  <c r="L30" i="103" s="1"/>
  <c r="L65" i="103"/>
  <c r="L64" i="103"/>
  <c r="L63" i="103"/>
  <c r="L61" i="103"/>
  <c r="L60" i="103"/>
  <c r="M59" i="103"/>
  <c r="K59" i="103"/>
  <c r="J59" i="103"/>
  <c r="I59" i="103"/>
  <c r="L56" i="103"/>
  <c r="L55" i="103"/>
  <c r="L54" i="103"/>
  <c r="L52" i="103"/>
  <c r="M50" i="103"/>
  <c r="K50" i="103"/>
  <c r="J50" i="103"/>
  <c r="I50" i="103"/>
  <c r="L47" i="103"/>
  <c r="L46" i="103"/>
  <c r="L45" i="103"/>
  <c r="L44" i="103"/>
  <c r="L42" i="103"/>
  <c r="L41" i="103"/>
  <c r="K40" i="103"/>
  <c r="J40" i="103"/>
  <c r="I40" i="103"/>
  <c r="L59" i="103"/>
  <c r="L35" i="103"/>
  <c r="L34" i="103"/>
  <c r="M30" i="103"/>
  <c r="K30" i="103"/>
  <c r="J30" i="103"/>
  <c r="I30" i="103"/>
  <c r="L27" i="103"/>
  <c r="L50" i="103" s="1"/>
  <c r="L26" i="103"/>
  <c r="L25" i="103"/>
  <c r="L23" i="103"/>
  <c r="K21" i="103"/>
  <c r="J21" i="103"/>
  <c r="I21" i="103"/>
  <c r="L18" i="103"/>
  <c r="L40" i="103" s="1"/>
  <c r="L17" i="103"/>
  <c r="L16" i="103"/>
  <c r="L15" i="103"/>
  <c r="L13" i="103"/>
  <c r="L12" i="103"/>
  <c r="K11" i="103"/>
  <c r="J11" i="103"/>
  <c r="I11" i="103"/>
  <c r="E46" i="61"/>
  <c r="H46" i="61" s="1"/>
  <c r="F46" i="61" s="1"/>
  <c r="E46" i="62"/>
  <c r="E45" i="12"/>
  <c r="H45" i="12" s="1"/>
  <c r="F45" i="12" s="1"/>
  <c r="D45" i="24"/>
  <c r="G45" i="24" s="1"/>
  <c r="E45" i="8"/>
  <c r="C46" i="9"/>
  <c r="E46" i="9" s="1"/>
  <c r="J46" i="9" s="1"/>
  <c r="I46" i="9" s="1"/>
  <c r="E34" i="45"/>
  <c r="H34" i="45" s="1"/>
  <c r="F34" i="45" s="1"/>
  <c r="E34" i="46"/>
  <c r="H34" i="46" s="1"/>
  <c r="F34" i="46" s="1"/>
  <c r="H35" i="47"/>
  <c r="K35" i="47" s="1"/>
  <c r="D35" i="47"/>
  <c r="E46" i="16"/>
  <c r="H46" i="16" s="1"/>
  <c r="F46" i="16" s="1"/>
  <c r="F46" i="31"/>
  <c r="E46" i="31"/>
  <c r="D44" i="33"/>
  <c r="H44" i="33"/>
  <c r="M44" i="33"/>
  <c r="K44" i="33"/>
  <c r="J44" i="33"/>
  <c r="B46" i="38"/>
  <c r="E46" i="38" s="1"/>
  <c r="H46" i="38" s="1"/>
  <c r="F46" i="38" s="1"/>
  <c r="E46" i="39"/>
  <c r="H46" i="39" s="1"/>
  <c r="C46" i="17"/>
  <c r="B46" i="17"/>
  <c r="D43" i="18"/>
  <c r="B44" i="13"/>
  <c r="C44" i="70"/>
  <c r="D137" i="20"/>
  <c r="F137" i="20"/>
  <c r="G137" i="20"/>
  <c r="I137" i="20"/>
  <c r="J137" i="20" s="1"/>
  <c r="N137" i="20"/>
  <c r="F104" i="27"/>
  <c r="C104" i="27"/>
  <c r="B92" i="27"/>
  <c r="E92" i="27" s="1"/>
  <c r="H92" i="27" s="1"/>
  <c r="L131" i="20" l="1"/>
  <c r="H101" i="27"/>
  <c r="L132" i="20"/>
  <c r="L137" i="20" s="1"/>
  <c r="O132" i="20"/>
  <c r="O137" i="20" s="1"/>
  <c r="L133" i="20"/>
  <c r="L136" i="20"/>
  <c r="C46" i="32"/>
  <c r="E46" i="32" s="1"/>
  <c r="I46" i="32" s="1"/>
  <c r="G46" i="32" s="1"/>
  <c r="N44" i="33"/>
  <c r="L44" i="33"/>
  <c r="M125" i="20"/>
  <c r="K137" i="20"/>
  <c r="E46" i="17"/>
  <c r="I46" i="17" s="1"/>
  <c r="H46" i="17" s="1"/>
  <c r="M131" i="20"/>
  <c r="M128" i="20"/>
  <c r="M127" i="20"/>
  <c r="F46" i="62"/>
  <c r="H46" i="62"/>
  <c r="H97" i="27"/>
  <c r="H104" i="27" s="1"/>
  <c r="H98" i="27"/>
  <c r="H99" i="27"/>
  <c r="D104" i="27"/>
  <c r="E104" i="27" s="1"/>
  <c r="G104" i="27"/>
  <c r="N44" i="6"/>
  <c r="B44" i="70" s="1"/>
  <c r="G173" i="28"/>
  <c r="F173" i="28"/>
  <c r="G166" i="28"/>
  <c r="F166" i="28"/>
  <c r="G162" i="28"/>
  <c r="F162" i="28"/>
  <c r="G158" i="28"/>
  <c r="F158" i="28"/>
  <c r="D173" i="28"/>
  <c r="C173" i="28"/>
  <c r="J166" i="28"/>
  <c r="B173" i="28" s="1"/>
  <c r="J162" i="28"/>
  <c r="B166" i="28" s="1"/>
  <c r="J158" i="28"/>
  <c r="B162" i="28" s="1"/>
  <c r="E162" i="28" s="1"/>
  <c r="D166" i="28"/>
  <c r="D162" i="28"/>
  <c r="D158" i="28"/>
  <c r="F45" i="21"/>
  <c r="B45" i="21"/>
  <c r="E45" i="21" s="1"/>
  <c r="B46" i="22"/>
  <c r="E46" i="22" s="1"/>
  <c r="H46" i="22" s="1"/>
  <c r="F46" i="22" s="1"/>
  <c r="C46" i="23"/>
  <c r="E46" i="23" s="1"/>
  <c r="D64" i="2"/>
  <c r="M137" i="20" l="1"/>
  <c r="I46" i="23"/>
  <c r="H46" i="23" s="1"/>
  <c r="E166" i="28"/>
  <c r="E44" i="70"/>
  <c r="D44" i="70" s="1"/>
  <c r="E173" i="28"/>
  <c r="I173" i="28" s="1"/>
  <c r="H173" i="28" s="1"/>
  <c r="F43" i="5"/>
  <c r="F45" i="5"/>
  <c r="F44" i="5"/>
  <c r="C47" i="5" l="1"/>
  <c r="E47" i="5" s="1"/>
  <c r="J47" i="5" s="1"/>
  <c r="I47" i="5" s="1"/>
  <c r="E45" i="61"/>
  <c r="H45" i="61" s="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8" i="61"/>
  <c r="E45" i="62"/>
  <c r="H45" i="62" s="1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H44" i="62" s="1"/>
  <c r="F44" i="62" s="1"/>
  <c r="E8" i="62"/>
  <c r="C17" i="3"/>
  <c r="D17" i="3"/>
  <c r="E17" i="3"/>
  <c r="F17" i="3"/>
  <c r="G17" i="3"/>
  <c r="H17" i="3"/>
  <c r="I17" i="3"/>
  <c r="J17" i="3"/>
  <c r="K17" i="3"/>
  <c r="L17" i="3"/>
  <c r="N43" i="15"/>
  <c r="N43" i="13" s="1"/>
  <c r="J43" i="21"/>
  <c r="J75" i="26"/>
  <c r="J74" i="26"/>
  <c r="J73" i="26"/>
  <c r="J72" i="26"/>
  <c r="J71" i="26"/>
  <c r="J70" i="26"/>
  <c r="J69" i="26"/>
  <c r="J68" i="26"/>
  <c r="J67" i="26"/>
  <c r="J66" i="26"/>
  <c r="J65" i="26"/>
  <c r="J64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F146" i="28"/>
  <c r="F145" i="28"/>
  <c r="F144" i="28"/>
  <c r="F142" i="28"/>
  <c r="F141" i="28"/>
  <c r="F140" i="28"/>
  <c r="F138" i="28"/>
  <c r="F137" i="28"/>
  <c r="F136" i="28"/>
  <c r="F134" i="28"/>
  <c r="F133" i="28"/>
  <c r="F132" i="28"/>
  <c r="I89" i="27"/>
  <c r="I44" i="22" s="1"/>
  <c r="I88" i="27"/>
  <c r="I87" i="27"/>
  <c r="I86" i="27"/>
  <c r="I85" i="27"/>
  <c r="I84" i="27"/>
  <c r="I83" i="27"/>
  <c r="I82" i="27"/>
  <c r="I81" i="27"/>
  <c r="I80" i="27"/>
  <c r="I79" i="27"/>
  <c r="I78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G81" i="27"/>
  <c r="G80" i="27"/>
  <c r="G79" i="27"/>
  <c r="G78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D45" i="2" l="1"/>
  <c r="B14" i="58" l="1"/>
  <c r="C14" i="58"/>
  <c r="D14" i="58"/>
  <c r="E14" i="58"/>
  <c r="F14" i="58"/>
  <c r="G14" i="58"/>
  <c r="B24" i="58"/>
  <c r="C24" i="58"/>
  <c r="D24" i="58"/>
  <c r="E24" i="58"/>
  <c r="F24" i="58"/>
  <c r="G24" i="58"/>
  <c r="B34" i="58"/>
  <c r="C34" i="58"/>
  <c r="D34" i="58"/>
  <c r="E34" i="58"/>
  <c r="F34" i="58"/>
  <c r="G34" i="58"/>
  <c r="B44" i="58"/>
  <c r="C44" i="58"/>
  <c r="D44" i="58"/>
  <c r="E44" i="58"/>
  <c r="F44" i="58"/>
  <c r="G44" i="58"/>
  <c r="B54" i="58"/>
  <c r="C54" i="58"/>
  <c r="D54" i="58"/>
  <c r="E54" i="58"/>
  <c r="F54" i="58"/>
  <c r="G54" i="58"/>
  <c r="B15" i="59"/>
  <c r="C15" i="59"/>
  <c r="D15" i="59"/>
  <c r="E15" i="59"/>
  <c r="F15" i="59"/>
  <c r="G15" i="59"/>
  <c r="B26" i="59"/>
  <c r="C26" i="59"/>
  <c r="D26" i="59"/>
  <c r="E26" i="59"/>
  <c r="F26" i="59"/>
  <c r="G26" i="59"/>
  <c r="B37" i="59"/>
  <c r="C37" i="59"/>
  <c r="D37" i="59"/>
  <c r="E37" i="59"/>
  <c r="F37" i="59"/>
  <c r="G37" i="59"/>
  <c r="B48" i="59"/>
  <c r="C48" i="59"/>
  <c r="D48" i="59"/>
  <c r="E48" i="59"/>
  <c r="F48" i="59"/>
  <c r="G48" i="59"/>
  <c r="B59" i="59"/>
  <c r="C59" i="59"/>
  <c r="D59" i="59"/>
  <c r="E59" i="59"/>
  <c r="F59" i="59"/>
  <c r="G59" i="59"/>
  <c r="B13" i="60"/>
  <c r="C13" i="60"/>
  <c r="D13" i="60"/>
  <c r="E13" i="60"/>
  <c r="F13" i="60"/>
  <c r="G13" i="60"/>
  <c r="B22" i="60"/>
  <c r="C22" i="60"/>
  <c r="D22" i="60"/>
  <c r="E22" i="60"/>
  <c r="F22" i="60"/>
  <c r="G22" i="60"/>
  <c r="B31" i="60"/>
  <c r="C31" i="60"/>
  <c r="D31" i="60"/>
  <c r="E31" i="60"/>
  <c r="F31" i="60"/>
  <c r="G31" i="60"/>
  <c r="B40" i="60"/>
  <c r="C40" i="60"/>
  <c r="D40" i="60"/>
  <c r="E40" i="60"/>
  <c r="F40" i="60"/>
  <c r="G40" i="60"/>
  <c r="B49" i="60"/>
  <c r="C49" i="60"/>
  <c r="D49" i="60"/>
  <c r="E49" i="60"/>
  <c r="F49" i="60"/>
  <c r="G49" i="60"/>
  <c r="H8" i="61"/>
  <c r="F8" i="61" s="1"/>
  <c r="J8" i="61"/>
  <c r="H9" i="61"/>
  <c r="F9" i="61" s="1"/>
  <c r="J9" i="61"/>
  <c r="H10" i="61"/>
  <c r="F10" i="61" s="1"/>
  <c r="J10" i="61"/>
  <c r="H11" i="61"/>
  <c r="F11" i="61" s="1"/>
  <c r="J11" i="61"/>
  <c r="H12" i="61"/>
  <c r="F12" i="61" s="1"/>
  <c r="J12" i="61"/>
  <c r="H13" i="61"/>
  <c r="F13" i="61" s="1"/>
  <c r="J13" i="61"/>
  <c r="H14" i="61"/>
  <c r="F14" i="61" s="1"/>
  <c r="J14" i="61"/>
  <c r="H15" i="61"/>
  <c r="F15" i="61" s="1"/>
  <c r="J15" i="61"/>
  <c r="H16" i="61"/>
  <c r="F16" i="61" s="1"/>
  <c r="J16" i="61"/>
  <c r="H17" i="61"/>
  <c r="F17" i="61" s="1"/>
  <c r="J17" i="61"/>
  <c r="H18" i="61"/>
  <c r="F18" i="61" s="1"/>
  <c r="J18" i="61"/>
  <c r="H19" i="61"/>
  <c r="F19" i="61" s="1"/>
  <c r="J19" i="61"/>
  <c r="H20" i="61"/>
  <c r="F20" i="61" s="1"/>
  <c r="J20" i="61"/>
  <c r="H21" i="61"/>
  <c r="F21" i="61" s="1"/>
  <c r="J21" i="61"/>
  <c r="H22" i="61"/>
  <c r="F22" i="61" s="1"/>
  <c r="J22" i="61"/>
  <c r="H23" i="61"/>
  <c r="F23" i="61" s="1"/>
  <c r="J23" i="61"/>
  <c r="H24" i="61"/>
  <c r="F24" i="61" s="1"/>
  <c r="J24" i="61"/>
  <c r="H25" i="61"/>
  <c r="F25" i="61" s="1"/>
  <c r="J25" i="61"/>
  <c r="H26" i="61"/>
  <c r="F26" i="61" s="1"/>
  <c r="J26" i="61"/>
  <c r="H27" i="61"/>
  <c r="F27" i="61" s="1"/>
  <c r="J27" i="61"/>
  <c r="H28" i="61"/>
  <c r="F28" i="61" s="1"/>
  <c r="J28" i="61"/>
  <c r="H29" i="61"/>
  <c r="F29" i="61" s="1"/>
  <c r="J29" i="61"/>
  <c r="H30" i="61"/>
  <c r="F30" i="61" s="1"/>
  <c r="J30" i="61"/>
  <c r="H31" i="61"/>
  <c r="F31" i="61" s="1"/>
  <c r="J31" i="61"/>
  <c r="H32" i="61"/>
  <c r="F32" i="61" s="1"/>
  <c r="J32" i="61"/>
  <c r="H33" i="61"/>
  <c r="F33" i="61" s="1"/>
  <c r="J33" i="61"/>
  <c r="H34" i="61"/>
  <c r="F34" i="61" s="1"/>
  <c r="J34" i="61"/>
  <c r="H35" i="61"/>
  <c r="F35" i="61" s="1"/>
  <c r="J35" i="61"/>
  <c r="H36" i="61"/>
  <c r="F36" i="61" s="1"/>
  <c r="J36" i="61"/>
  <c r="H37" i="61"/>
  <c r="F37" i="61" s="1"/>
  <c r="J37" i="61"/>
  <c r="F38" i="61"/>
  <c r="H38" i="61"/>
  <c r="J38" i="61"/>
  <c r="H39" i="61"/>
  <c r="F39" i="61" s="1"/>
  <c r="H40" i="61"/>
  <c r="F40" i="61" s="1"/>
  <c r="H41" i="61"/>
  <c r="F41" i="61" s="1"/>
  <c r="H42" i="61"/>
  <c r="F42" i="61" s="1"/>
  <c r="H43" i="61"/>
  <c r="F43" i="61" s="1"/>
  <c r="H44" i="61"/>
  <c r="F44" i="61" s="1"/>
  <c r="F45" i="61"/>
  <c r="H8" i="62"/>
  <c r="F8" i="62" s="1"/>
  <c r="J8" i="62"/>
  <c r="H9" i="62"/>
  <c r="F9" i="62" s="1"/>
  <c r="J9" i="62"/>
  <c r="H10" i="62"/>
  <c r="F10" i="62" s="1"/>
  <c r="J10" i="62"/>
  <c r="H11" i="62"/>
  <c r="F11" i="62" s="1"/>
  <c r="J11" i="62"/>
  <c r="H12" i="62"/>
  <c r="F12" i="62" s="1"/>
  <c r="J12" i="62"/>
  <c r="H13" i="62"/>
  <c r="F13" i="62" s="1"/>
  <c r="J13" i="62"/>
  <c r="H14" i="62"/>
  <c r="F14" i="62" s="1"/>
  <c r="J14" i="62"/>
  <c r="H15" i="62"/>
  <c r="F15" i="62" s="1"/>
  <c r="J15" i="62"/>
  <c r="H16" i="62"/>
  <c r="F16" i="62" s="1"/>
  <c r="J16" i="62"/>
  <c r="H17" i="62"/>
  <c r="F17" i="62" s="1"/>
  <c r="J17" i="62"/>
  <c r="H18" i="62"/>
  <c r="F18" i="62" s="1"/>
  <c r="J18" i="62"/>
  <c r="H19" i="62"/>
  <c r="F19" i="62" s="1"/>
  <c r="J19" i="62"/>
  <c r="H20" i="62"/>
  <c r="F20" i="62" s="1"/>
  <c r="J20" i="62"/>
  <c r="H21" i="62"/>
  <c r="F21" i="62" s="1"/>
  <c r="J21" i="62"/>
  <c r="H22" i="62"/>
  <c r="F22" i="62" s="1"/>
  <c r="J22" i="62"/>
  <c r="H23" i="62"/>
  <c r="F23" i="62" s="1"/>
  <c r="J23" i="62"/>
  <c r="H24" i="62"/>
  <c r="F24" i="62" s="1"/>
  <c r="J24" i="62"/>
  <c r="H25" i="62"/>
  <c r="F25" i="62" s="1"/>
  <c r="J25" i="62"/>
  <c r="H26" i="62"/>
  <c r="F26" i="62" s="1"/>
  <c r="J26" i="62"/>
  <c r="H27" i="62"/>
  <c r="F27" i="62" s="1"/>
  <c r="J27" i="62"/>
  <c r="H28" i="62"/>
  <c r="F28" i="62" s="1"/>
  <c r="J28" i="62"/>
  <c r="H29" i="62"/>
  <c r="F29" i="62" s="1"/>
  <c r="J29" i="62"/>
  <c r="H30" i="62"/>
  <c r="F30" i="62" s="1"/>
  <c r="J30" i="62"/>
  <c r="H31" i="62"/>
  <c r="F31" i="62" s="1"/>
  <c r="J31" i="62"/>
  <c r="H32" i="62"/>
  <c r="F32" i="62" s="1"/>
  <c r="J32" i="62"/>
  <c r="H33" i="62"/>
  <c r="F33" i="62" s="1"/>
  <c r="J33" i="62"/>
  <c r="H34" i="62"/>
  <c r="F34" i="62" s="1"/>
  <c r="J34" i="62"/>
  <c r="H35" i="62"/>
  <c r="F35" i="62" s="1"/>
  <c r="J35" i="62"/>
  <c r="H36" i="62"/>
  <c r="F36" i="62" s="1"/>
  <c r="J36" i="62"/>
  <c r="H37" i="62"/>
  <c r="F37" i="62" s="1"/>
  <c r="J37" i="62"/>
  <c r="H38" i="62"/>
  <c r="F38" i="62" s="1"/>
  <c r="J38" i="62"/>
  <c r="H39" i="62"/>
  <c r="F39" i="62" s="1"/>
  <c r="H40" i="62"/>
  <c r="F40" i="62" s="1"/>
  <c r="H41" i="62"/>
  <c r="F41" i="62" s="1"/>
  <c r="H42" i="62"/>
  <c r="F42" i="62" s="1"/>
  <c r="H43" i="62"/>
  <c r="F43" i="62" s="1"/>
  <c r="F45" i="62"/>
  <c r="E7" i="12"/>
  <c r="H7" i="12" s="1"/>
  <c r="F7" i="12" s="1"/>
  <c r="B8" i="12"/>
  <c r="E8" i="12"/>
  <c r="H8" i="12" s="1"/>
  <c r="F8" i="12" s="1"/>
  <c r="B9" i="12"/>
  <c r="E9" i="12" s="1"/>
  <c r="H9" i="12" s="1"/>
  <c r="F9" i="12" s="1"/>
  <c r="B10" i="12"/>
  <c r="E10" i="12" s="1"/>
  <c r="H10" i="12" s="1"/>
  <c r="F10" i="12" s="1"/>
  <c r="B11" i="12"/>
  <c r="E11" i="12"/>
  <c r="H11" i="12" s="1"/>
  <c r="F11" i="12" s="1"/>
  <c r="B12" i="12"/>
  <c r="E12" i="12" s="1"/>
  <c r="H12" i="12" s="1"/>
  <c r="F12" i="12" s="1"/>
  <c r="B13" i="12"/>
  <c r="E13" i="12" s="1"/>
  <c r="H13" i="12" s="1"/>
  <c r="F13" i="12" s="1"/>
  <c r="B14" i="12"/>
  <c r="E14" i="12" s="1"/>
  <c r="H14" i="12" s="1"/>
  <c r="F14" i="12" s="1"/>
  <c r="B15" i="12"/>
  <c r="E15" i="12" s="1"/>
  <c r="H15" i="12" s="1"/>
  <c r="F15" i="12" s="1"/>
  <c r="B16" i="12"/>
  <c r="E16" i="12"/>
  <c r="H16" i="12" s="1"/>
  <c r="F16" i="12" s="1"/>
  <c r="B17" i="12"/>
  <c r="E17" i="12" s="1"/>
  <c r="H17" i="12" s="1"/>
  <c r="F17" i="12" s="1"/>
  <c r="B18" i="12"/>
  <c r="E18" i="12" s="1"/>
  <c r="H18" i="12"/>
  <c r="F18" i="12" s="1"/>
  <c r="B19" i="12"/>
  <c r="E19" i="12"/>
  <c r="H19" i="12" s="1"/>
  <c r="F19" i="12" s="1"/>
  <c r="B20" i="12"/>
  <c r="E20" i="12" s="1"/>
  <c r="H20" i="12" s="1"/>
  <c r="F20" i="12" s="1"/>
  <c r="B21" i="12"/>
  <c r="E21" i="12" s="1"/>
  <c r="H21" i="12" s="1"/>
  <c r="F21" i="12" s="1"/>
  <c r="B22" i="12"/>
  <c r="E22" i="12" s="1"/>
  <c r="H22" i="12" s="1"/>
  <c r="F22" i="12" s="1"/>
  <c r="B23" i="12"/>
  <c r="E23" i="12" s="1"/>
  <c r="H23" i="12" s="1"/>
  <c r="F23" i="12" s="1"/>
  <c r="B24" i="12"/>
  <c r="E24" i="12" s="1"/>
  <c r="H24" i="12" s="1"/>
  <c r="F24" i="12" s="1"/>
  <c r="B25" i="12"/>
  <c r="E25" i="12" s="1"/>
  <c r="H25" i="12" s="1"/>
  <c r="F25" i="12" s="1"/>
  <c r="B26" i="12"/>
  <c r="E26" i="12" s="1"/>
  <c r="H26" i="12" s="1"/>
  <c r="F26" i="12" s="1"/>
  <c r="B27" i="12"/>
  <c r="E27" i="12" s="1"/>
  <c r="H27" i="12" s="1"/>
  <c r="F27" i="12" s="1"/>
  <c r="B28" i="12"/>
  <c r="E28" i="12" s="1"/>
  <c r="H28" i="12" s="1"/>
  <c r="F28" i="12" s="1"/>
  <c r="B29" i="12"/>
  <c r="E29" i="12"/>
  <c r="H29" i="12" s="1"/>
  <c r="F29" i="12" s="1"/>
  <c r="B30" i="12"/>
  <c r="E30" i="12" s="1"/>
  <c r="H30" i="12" s="1"/>
  <c r="F30" i="12" s="1"/>
  <c r="B31" i="12"/>
  <c r="E31" i="12" s="1"/>
  <c r="H31" i="12" s="1"/>
  <c r="F31" i="12" s="1"/>
  <c r="B32" i="12"/>
  <c r="E32" i="12"/>
  <c r="H32" i="12" s="1"/>
  <c r="F32" i="12" s="1"/>
  <c r="B33" i="12"/>
  <c r="E33" i="12" s="1"/>
  <c r="H33" i="12" s="1"/>
  <c r="F33" i="12" s="1"/>
  <c r="B34" i="12"/>
  <c r="E34" i="12" s="1"/>
  <c r="H34" i="12" s="1"/>
  <c r="F34" i="12" s="1"/>
  <c r="B35" i="12"/>
  <c r="E35" i="12" s="1"/>
  <c r="H35" i="12" s="1"/>
  <c r="F35" i="12" s="1"/>
  <c r="B36" i="12"/>
  <c r="E36" i="12" s="1"/>
  <c r="H36" i="12" s="1"/>
  <c r="F36" i="12" s="1"/>
  <c r="B37" i="12"/>
  <c r="E37" i="12" s="1"/>
  <c r="H37" i="12" s="1"/>
  <c r="F37" i="12" s="1"/>
  <c r="B38" i="12"/>
  <c r="E38" i="12" s="1"/>
  <c r="H38" i="12" s="1"/>
  <c r="F38" i="12" s="1"/>
  <c r="B39" i="12"/>
  <c r="E39" i="12" s="1"/>
  <c r="H39" i="12" s="1"/>
  <c r="F39" i="12" s="1"/>
  <c r="B40" i="12"/>
  <c r="E40" i="12" s="1"/>
  <c r="H40" i="12" s="1"/>
  <c r="F40" i="12" s="1"/>
  <c r="B41" i="12"/>
  <c r="E41" i="12" s="1"/>
  <c r="H41" i="12" s="1"/>
  <c r="F41" i="12" s="1"/>
  <c r="E42" i="12"/>
  <c r="H42" i="12" s="1"/>
  <c r="F42" i="12" s="1"/>
  <c r="E43" i="12"/>
  <c r="H43" i="12" s="1"/>
  <c r="F43" i="12" s="1"/>
  <c r="E44" i="12"/>
  <c r="H44" i="12" s="1"/>
  <c r="F44" i="12" s="1"/>
  <c r="B17" i="3"/>
  <c r="B33" i="3"/>
  <c r="C33" i="3"/>
  <c r="D33" i="3"/>
  <c r="E33" i="3"/>
  <c r="F33" i="3"/>
  <c r="G33" i="3"/>
  <c r="H33" i="3"/>
  <c r="I33" i="3"/>
  <c r="J33" i="3"/>
  <c r="K33" i="3"/>
  <c r="L33" i="3"/>
  <c r="B45" i="3"/>
  <c r="C45" i="3"/>
  <c r="D45" i="3"/>
  <c r="E45" i="3"/>
  <c r="F45" i="3"/>
  <c r="G45" i="3"/>
  <c r="H45" i="3"/>
  <c r="I45" i="3"/>
  <c r="J45" i="3"/>
  <c r="K45" i="3"/>
  <c r="L45" i="3"/>
  <c r="B61" i="3"/>
  <c r="C61" i="3"/>
  <c r="D61" i="3"/>
  <c r="E61" i="3"/>
  <c r="F61" i="3"/>
  <c r="G61" i="3"/>
  <c r="H61" i="3"/>
  <c r="I61" i="3"/>
  <c r="J61" i="3"/>
  <c r="K61" i="3"/>
  <c r="L61" i="3"/>
  <c r="D7" i="24"/>
  <c r="G7" i="24" s="1"/>
  <c r="E7" i="24" s="1"/>
  <c r="B8" i="24"/>
  <c r="D8" i="24" s="1"/>
  <c r="G8" i="24"/>
  <c r="E8" i="24" s="1"/>
  <c r="B9" i="24"/>
  <c r="D9" i="24" s="1"/>
  <c r="G9" i="24" s="1"/>
  <c r="E9" i="24" s="1"/>
  <c r="B10" i="24"/>
  <c r="D10" i="24" s="1"/>
  <c r="G10" i="24" s="1"/>
  <c r="E10" i="24" s="1"/>
  <c r="B11" i="24"/>
  <c r="D11" i="24" s="1"/>
  <c r="G11" i="24" s="1"/>
  <c r="E11" i="24" s="1"/>
  <c r="B12" i="24"/>
  <c r="D12" i="24" s="1"/>
  <c r="G12" i="24" s="1"/>
  <c r="E12" i="24" s="1"/>
  <c r="B13" i="24"/>
  <c r="D13" i="24" s="1"/>
  <c r="G13" i="24" s="1"/>
  <c r="E13" i="24" s="1"/>
  <c r="B14" i="24"/>
  <c r="D14" i="24" s="1"/>
  <c r="G14" i="24" s="1"/>
  <c r="E14" i="24" s="1"/>
  <c r="B15" i="24"/>
  <c r="D15" i="24"/>
  <c r="G15" i="24" s="1"/>
  <c r="E15" i="24" s="1"/>
  <c r="B16" i="24"/>
  <c r="D16" i="24" s="1"/>
  <c r="G16" i="24" s="1"/>
  <c r="E16" i="24" s="1"/>
  <c r="B17" i="24"/>
  <c r="D17" i="24" s="1"/>
  <c r="G17" i="24" s="1"/>
  <c r="E17" i="24" s="1"/>
  <c r="B18" i="24"/>
  <c r="D18" i="24" s="1"/>
  <c r="G18" i="24" s="1"/>
  <c r="E18" i="24" s="1"/>
  <c r="B19" i="24"/>
  <c r="D19" i="24" s="1"/>
  <c r="G19" i="24" s="1"/>
  <c r="E19" i="24" s="1"/>
  <c r="B20" i="24"/>
  <c r="D20" i="24" s="1"/>
  <c r="G20" i="24" s="1"/>
  <c r="E20" i="24" s="1"/>
  <c r="B21" i="24"/>
  <c r="D21" i="24" s="1"/>
  <c r="G21" i="24" s="1"/>
  <c r="E21" i="24" s="1"/>
  <c r="B22" i="24"/>
  <c r="D22" i="24" s="1"/>
  <c r="G22" i="24"/>
  <c r="E22" i="24" s="1"/>
  <c r="B23" i="24"/>
  <c r="D23" i="24" s="1"/>
  <c r="G23" i="24" s="1"/>
  <c r="E23" i="24" s="1"/>
  <c r="B24" i="24"/>
  <c r="D24" i="24" s="1"/>
  <c r="G24" i="24" s="1"/>
  <c r="E24" i="24" s="1"/>
  <c r="B25" i="24"/>
  <c r="D25" i="24" s="1"/>
  <c r="G25" i="24" s="1"/>
  <c r="E25" i="24" s="1"/>
  <c r="B26" i="24"/>
  <c r="D26" i="24" s="1"/>
  <c r="G26" i="24" s="1"/>
  <c r="E26" i="24" s="1"/>
  <c r="D27" i="24"/>
  <c r="G27" i="24" s="1"/>
  <c r="E27" i="24" s="1"/>
  <c r="B28" i="24"/>
  <c r="D28" i="24" s="1"/>
  <c r="G28" i="24" s="1"/>
  <c r="E28" i="24" s="1"/>
  <c r="B29" i="24"/>
  <c r="D29" i="24" s="1"/>
  <c r="G29" i="24" s="1"/>
  <c r="E29" i="24" s="1"/>
  <c r="B30" i="24"/>
  <c r="D30" i="24" s="1"/>
  <c r="G30" i="24" s="1"/>
  <c r="E30" i="24" s="1"/>
  <c r="B31" i="24"/>
  <c r="D31" i="24" s="1"/>
  <c r="G31" i="24" s="1"/>
  <c r="E31" i="24" s="1"/>
  <c r="B32" i="24"/>
  <c r="D32" i="24" s="1"/>
  <c r="G32" i="24" s="1"/>
  <c r="E32" i="24" s="1"/>
  <c r="B33" i="24"/>
  <c r="D33" i="24" s="1"/>
  <c r="G33" i="24" s="1"/>
  <c r="E33" i="24" s="1"/>
  <c r="B34" i="24"/>
  <c r="D34" i="24" s="1"/>
  <c r="G34" i="24" s="1"/>
  <c r="E34" i="24" s="1"/>
  <c r="B35" i="24"/>
  <c r="D35" i="24"/>
  <c r="G35" i="24"/>
  <c r="E35" i="24" s="1"/>
  <c r="B36" i="24"/>
  <c r="D36" i="24" s="1"/>
  <c r="G36" i="24" s="1"/>
  <c r="E36" i="24" s="1"/>
  <c r="B37" i="24"/>
  <c r="D37" i="24"/>
  <c r="G37" i="24" s="1"/>
  <c r="E37" i="24" s="1"/>
  <c r="B38" i="24"/>
  <c r="D38" i="24" s="1"/>
  <c r="G38" i="24" s="1"/>
  <c r="E38" i="24" s="1"/>
  <c r="B39" i="24"/>
  <c r="D39" i="24" s="1"/>
  <c r="G39" i="24" s="1"/>
  <c r="E39" i="24" s="1"/>
  <c r="B40" i="24"/>
  <c r="D40" i="24" s="1"/>
  <c r="G40" i="24" s="1"/>
  <c r="E40" i="24" s="1"/>
  <c r="B41" i="24"/>
  <c r="D41" i="24" s="1"/>
  <c r="G41" i="24" s="1"/>
  <c r="E41" i="24" s="1"/>
  <c r="B42" i="24"/>
  <c r="D42" i="24" s="1"/>
  <c r="G42" i="24" s="1"/>
  <c r="E42" i="24" s="1"/>
  <c r="B43" i="24"/>
  <c r="D43" i="24"/>
  <c r="G43" i="24" s="1"/>
  <c r="E43" i="24" s="1"/>
  <c r="B44" i="24"/>
  <c r="D44" i="24" s="1"/>
  <c r="G44" i="24" s="1"/>
  <c r="E7" i="8"/>
  <c r="H7" i="8" s="1"/>
  <c r="F7" i="8" s="1"/>
  <c r="B8" i="8"/>
  <c r="E8" i="8" s="1"/>
  <c r="H8" i="8" s="1"/>
  <c r="F8" i="8" s="1"/>
  <c r="B9" i="8"/>
  <c r="E9" i="8" s="1"/>
  <c r="H9" i="8"/>
  <c r="F9" i="8" s="1"/>
  <c r="B10" i="8"/>
  <c r="E10" i="8" s="1"/>
  <c r="H10" i="8" s="1"/>
  <c r="F10" i="8" s="1"/>
  <c r="B11" i="8"/>
  <c r="E11" i="8" s="1"/>
  <c r="H11" i="8" s="1"/>
  <c r="F11" i="8" s="1"/>
  <c r="B12" i="8"/>
  <c r="E12" i="8" s="1"/>
  <c r="H12" i="8" s="1"/>
  <c r="F12" i="8" s="1"/>
  <c r="B13" i="8"/>
  <c r="E13" i="8" s="1"/>
  <c r="H13" i="8" s="1"/>
  <c r="F13" i="8" s="1"/>
  <c r="B14" i="8"/>
  <c r="E14" i="8" s="1"/>
  <c r="H14" i="8" s="1"/>
  <c r="F14" i="8"/>
  <c r="B15" i="8"/>
  <c r="E15" i="8" s="1"/>
  <c r="H15" i="8" s="1"/>
  <c r="F15" i="8" s="1"/>
  <c r="B16" i="8"/>
  <c r="E16" i="8" s="1"/>
  <c r="H16" i="8" s="1"/>
  <c r="F16" i="8" s="1"/>
  <c r="B17" i="8"/>
  <c r="E17" i="8" s="1"/>
  <c r="H17" i="8" s="1"/>
  <c r="F17" i="8" s="1"/>
  <c r="B18" i="8"/>
  <c r="E18" i="8" s="1"/>
  <c r="H18" i="8"/>
  <c r="F18" i="8" s="1"/>
  <c r="B19" i="8"/>
  <c r="E19" i="8" s="1"/>
  <c r="H19" i="8" s="1"/>
  <c r="F19" i="8" s="1"/>
  <c r="B20" i="8"/>
  <c r="E20" i="8" s="1"/>
  <c r="H20" i="8" s="1"/>
  <c r="F20" i="8" s="1"/>
  <c r="B21" i="8"/>
  <c r="E21" i="8" s="1"/>
  <c r="H21" i="8"/>
  <c r="F21" i="8" s="1"/>
  <c r="B22" i="8"/>
  <c r="E22" i="8" s="1"/>
  <c r="H22" i="8" s="1"/>
  <c r="F22" i="8" s="1"/>
  <c r="B23" i="8"/>
  <c r="E23" i="8" s="1"/>
  <c r="H23" i="8"/>
  <c r="F23" i="8" s="1"/>
  <c r="B24" i="8"/>
  <c r="E24" i="8" s="1"/>
  <c r="H24" i="8" s="1"/>
  <c r="F24" i="8" s="1"/>
  <c r="B25" i="8"/>
  <c r="E25" i="8" s="1"/>
  <c r="H25" i="8" s="1"/>
  <c r="F25" i="8" s="1"/>
  <c r="B26" i="8"/>
  <c r="E26" i="8" s="1"/>
  <c r="H26" i="8" s="1"/>
  <c r="F26" i="8" s="1"/>
  <c r="B27" i="8"/>
  <c r="E27" i="8" s="1"/>
  <c r="H27" i="8" s="1"/>
  <c r="F27" i="8" s="1"/>
  <c r="B28" i="8"/>
  <c r="E28" i="8" s="1"/>
  <c r="H28" i="8" s="1"/>
  <c r="F28" i="8" s="1"/>
  <c r="B29" i="8"/>
  <c r="E29" i="8" s="1"/>
  <c r="H29" i="8"/>
  <c r="F29" i="8" s="1"/>
  <c r="B30" i="8"/>
  <c r="E30" i="8" s="1"/>
  <c r="H30" i="8" s="1"/>
  <c r="F30" i="8" s="1"/>
  <c r="B31" i="8"/>
  <c r="E31" i="8" s="1"/>
  <c r="H31" i="8" s="1"/>
  <c r="F31" i="8" s="1"/>
  <c r="B32" i="8"/>
  <c r="E32" i="8" s="1"/>
  <c r="H32" i="8" s="1"/>
  <c r="F32" i="8" s="1"/>
  <c r="B33" i="8"/>
  <c r="E33" i="8" s="1"/>
  <c r="H33" i="8"/>
  <c r="F33" i="8" s="1"/>
  <c r="B34" i="8"/>
  <c r="E34" i="8" s="1"/>
  <c r="H34" i="8"/>
  <c r="F34" i="8" s="1"/>
  <c r="B35" i="8"/>
  <c r="E35" i="8" s="1"/>
  <c r="H35" i="8" s="1"/>
  <c r="F35" i="8" s="1"/>
  <c r="B36" i="8"/>
  <c r="E36" i="8" s="1"/>
  <c r="H36" i="8" s="1"/>
  <c r="F36" i="8" s="1"/>
  <c r="B37" i="8"/>
  <c r="E37" i="8" s="1"/>
  <c r="H37" i="8" s="1"/>
  <c r="F37" i="8" s="1"/>
  <c r="B38" i="8"/>
  <c r="E38" i="8" s="1"/>
  <c r="H38" i="8" s="1"/>
  <c r="F38" i="8"/>
  <c r="B39" i="8"/>
  <c r="E39" i="8" s="1"/>
  <c r="H39" i="8" s="1"/>
  <c r="F39" i="8" s="1"/>
  <c r="B40" i="8"/>
  <c r="E40" i="8" s="1"/>
  <c r="H40" i="8" s="1"/>
  <c r="F40" i="8" s="1"/>
  <c r="B41" i="8"/>
  <c r="E41" i="8" s="1"/>
  <c r="H41" i="8" s="1"/>
  <c r="F41" i="8" s="1"/>
  <c r="B42" i="8"/>
  <c r="E42" i="8" s="1"/>
  <c r="H42" i="8" s="1"/>
  <c r="F42" i="8" s="1"/>
  <c r="B43" i="8"/>
  <c r="E43" i="8" s="1"/>
  <c r="H43" i="8" s="1"/>
  <c r="F43" i="8" s="1"/>
  <c r="B44" i="8"/>
  <c r="E44" i="8" s="1"/>
  <c r="F44" i="8"/>
  <c r="C8" i="9"/>
  <c r="E8" i="9" s="1"/>
  <c r="J8" i="9" s="1"/>
  <c r="I8" i="9" s="1"/>
  <c r="C9" i="9"/>
  <c r="E9" i="9" s="1"/>
  <c r="J9" i="9" s="1"/>
  <c r="I9" i="9" s="1"/>
  <c r="C10" i="9"/>
  <c r="E10" i="9" s="1"/>
  <c r="J10" i="9" s="1"/>
  <c r="I10" i="9" s="1"/>
  <c r="C11" i="9"/>
  <c r="E11" i="9" s="1"/>
  <c r="J11" i="9" s="1"/>
  <c r="I11" i="9" s="1"/>
  <c r="C12" i="9"/>
  <c r="E12" i="9" s="1"/>
  <c r="J12" i="9" s="1"/>
  <c r="I12" i="9" s="1"/>
  <c r="C13" i="9"/>
  <c r="E13" i="9" s="1"/>
  <c r="J13" i="9" s="1"/>
  <c r="I13" i="9" s="1"/>
  <c r="C14" i="9"/>
  <c r="E14" i="9" s="1"/>
  <c r="J14" i="9" s="1"/>
  <c r="I14" i="9" s="1"/>
  <c r="C15" i="9"/>
  <c r="E15" i="9" s="1"/>
  <c r="J15" i="9" s="1"/>
  <c r="I15" i="9" s="1"/>
  <c r="C16" i="9"/>
  <c r="E16" i="9" s="1"/>
  <c r="J16" i="9" s="1"/>
  <c r="I16" i="9" s="1"/>
  <c r="C17" i="9"/>
  <c r="E17" i="9" s="1"/>
  <c r="J17" i="9" s="1"/>
  <c r="I17" i="9" s="1"/>
  <c r="C18" i="9"/>
  <c r="E18" i="9" s="1"/>
  <c r="J18" i="9" s="1"/>
  <c r="I18" i="9" s="1"/>
  <c r="C19" i="9"/>
  <c r="E19" i="9" s="1"/>
  <c r="J19" i="9" s="1"/>
  <c r="I19" i="9" s="1"/>
  <c r="C20" i="9"/>
  <c r="E20" i="9" s="1"/>
  <c r="J20" i="9" s="1"/>
  <c r="I20" i="9" s="1"/>
  <c r="C21" i="9"/>
  <c r="E21" i="9" s="1"/>
  <c r="J21" i="9" s="1"/>
  <c r="I21" i="9" s="1"/>
  <c r="C22" i="9"/>
  <c r="E22" i="9" s="1"/>
  <c r="J22" i="9" s="1"/>
  <c r="I22" i="9" s="1"/>
  <c r="C23" i="9"/>
  <c r="E23" i="9" s="1"/>
  <c r="J23" i="9" s="1"/>
  <c r="I23" i="9" s="1"/>
  <c r="C24" i="9"/>
  <c r="E24" i="9" s="1"/>
  <c r="J24" i="9" s="1"/>
  <c r="I24" i="9" s="1"/>
  <c r="C25" i="9"/>
  <c r="E25" i="9" s="1"/>
  <c r="J25" i="9" s="1"/>
  <c r="I25" i="9" s="1"/>
  <c r="C26" i="9"/>
  <c r="E26" i="9" s="1"/>
  <c r="J26" i="9" s="1"/>
  <c r="I26" i="9" s="1"/>
  <c r="C27" i="9"/>
  <c r="E27" i="9" s="1"/>
  <c r="J27" i="9" s="1"/>
  <c r="I27" i="9" s="1"/>
  <c r="C28" i="9"/>
  <c r="E28" i="9" s="1"/>
  <c r="J28" i="9" s="1"/>
  <c r="I28" i="9" s="1"/>
  <c r="C29" i="9"/>
  <c r="E29" i="9" s="1"/>
  <c r="J29" i="9" s="1"/>
  <c r="I29" i="9" s="1"/>
  <c r="C30" i="9"/>
  <c r="E30" i="9" s="1"/>
  <c r="J30" i="9" s="1"/>
  <c r="I30" i="9" s="1"/>
  <c r="C31" i="9"/>
  <c r="E31" i="9" s="1"/>
  <c r="J31" i="9" s="1"/>
  <c r="I31" i="9" s="1"/>
  <c r="C32" i="9"/>
  <c r="E32" i="9" s="1"/>
  <c r="J32" i="9" s="1"/>
  <c r="I32" i="9" s="1"/>
  <c r="C33" i="9"/>
  <c r="E33" i="9" s="1"/>
  <c r="J33" i="9" s="1"/>
  <c r="I33" i="9" s="1"/>
  <c r="C34" i="9"/>
  <c r="E34" i="9" s="1"/>
  <c r="J34" i="9" s="1"/>
  <c r="I34" i="9" s="1"/>
  <c r="C35" i="9"/>
  <c r="E35" i="9" s="1"/>
  <c r="J35" i="9" s="1"/>
  <c r="I35" i="9" s="1"/>
  <c r="C36" i="9"/>
  <c r="E36" i="9" s="1"/>
  <c r="J36" i="9" s="1"/>
  <c r="I36" i="9" s="1"/>
  <c r="C37" i="9"/>
  <c r="E37" i="9" s="1"/>
  <c r="J37" i="9" s="1"/>
  <c r="I37" i="9" s="1"/>
  <c r="C38" i="9"/>
  <c r="E38" i="9" s="1"/>
  <c r="J38" i="9" s="1"/>
  <c r="I38" i="9" s="1"/>
  <c r="C39" i="9"/>
  <c r="E39" i="9" s="1"/>
  <c r="J39" i="9" s="1"/>
  <c r="I39" i="9" s="1"/>
  <c r="C40" i="9"/>
  <c r="E40" i="9" s="1"/>
  <c r="J40" i="9" s="1"/>
  <c r="I40" i="9" s="1"/>
  <c r="C41" i="9"/>
  <c r="E41" i="9" s="1"/>
  <c r="J41" i="9" s="1"/>
  <c r="I41" i="9" s="1"/>
  <c r="C42" i="9"/>
  <c r="E42" i="9" s="1"/>
  <c r="J42" i="9" s="1"/>
  <c r="I42" i="9" s="1"/>
  <c r="C43" i="9"/>
  <c r="J43" i="9"/>
  <c r="I43" i="9" s="1"/>
  <c r="C44" i="9"/>
  <c r="E44" i="9" s="1"/>
  <c r="J44" i="9" s="1"/>
  <c r="I44" i="9" s="1"/>
  <c r="C45" i="9"/>
  <c r="E45" i="9" s="1"/>
  <c r="J45" i="9" s="1"/>
  <c r="I45" i="9" s="1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E7" i="45"/>
  <c r="H7" i="45" s="1"/>
  <c r="F7" i="45" s="1"/>
  <c r="B8" i="45"/>
  <c r="E8" i="45" s="1"/>
  <c r="H8" i="45" s="1"/>
  <c r="F8" i="45" s="1"/>
  <c r="B9" i="45"/>
  <c r="E9" i="45" s="1"/>
  <c r="H9" i="45" s="1"/>
  <c r="F9" i="45" s="1"/>
  <c r="B10" i="45"/>
  <c r="E10" i="45" s="1"/>
  <c r="H10" i="45" s="1"/>
  <c r="F10" i="45" s="1"/>
  <c r="B11" i="45"/>
  <c r="E11" i="45"/>
  <c r="H11" i="45" s="1"/>
  <c r="F11" i="45" s="1"/>
  <c r="B12" i="45"/>
  <c r="E12" i="45" s="1"/>
  <c r="H12" i="45" s="1"/>
  <c r="F12" i="45" s="1"/>
  <c r="B13" i="45"/>
  <c r="E13" i="45"/>
  <c r="H13" i="45" s="1"/>
  <c r="F13" i="45" s="1"/>
  <c r="B14" i="45"/>
  <c r="E14" i="45" s="1"/>
  <c r="H14" i="45" s="1"/>
  <c r="F14" i="45" s="1"/>
  <c r="B15" i="45"/>
  <c r="E15" i="45" s="1"/>
  <c r="H15" i="45" s="1"/>
  <c r="F15" i="45" s="1"/>
  <c r="B16" i="45"/>
  <c r="E16" i="45" s="1"/>
  <c r="H16" i="45" s="1"/>
  <c r="F16" i="45"/>
  <c r="B17" i="45"/>
  <c r="E17" i="45"/>
  <c r="H17" i="45" s="1"/>
  <c r="F17" i="45" s="1"/>
  <c r="B18" i="45"/>
  <c r="E18" i="45" s="1"/>
  <c r="H18" i="45" s="1"/>
  <c r="F18" i="45" s="1"/>
  <c r="B19" i="45"/>
  <c r="E19" i="45" s="1"/>
  <c r="H19" i="45" s="1"/>
  <c r="F19" i="45" s="1"/>
  <c r="B20" i="45"/>
  <c r="E20" i="45" s="1"/>
  <c r="H20" i="45" s="1"/>
  <c r="F20" i="45" s="1"/>
  <c r="B21" i="45"/>
  <c r="E21" i="45" s="1"/>
  <c r="H21" i="45" s="1"/>
  <c r="F21" i="45" s="1"/>
  <c r="B22" i="45"/>
  <c r="E22" i="45" s="1"/>
  <c r="H22" i="45" s="1"/>
  <c r="F22" i="45" s="1"/>
  <c r="B23" i="45"/>
  <c r="E23" i="45"/>
  <c r="H23" i="45" s="1"/>
  <c r="F23" i="45" s="1"/>
  <c r="B24" i="45"/>
  <c r="E24" i="45" s="1"/>
  <c r="H24" i="45" s="1"/>
  <c r="F24" i="45" s="1"/>
  <c r="B25" i="45"/>
  <c r="E25" i="45"/>
  <c r="H25" i="45" s="1"/>
  <c r="F25" i="45" s="1"/>
  <c r="B26" i="45"/>
  <c r="E26" i="45" s="1"/>
  <c r="H26" i="45" s="1"/>
  <c r="F26" i="45" s="1"/>
  <c r="B27" i="45"/>
  <c r="E27" i="45" s="1"/>
  <c r="H27" i="45" s="1"/>
  <c r="F27" i="45" s="1"/>
  <c r="B28" i="45"/>
  <c r="E28" i="45" s="1"/>
  <c r="H28" i="45" s="1"/>
  <c r="F28" i="45" s="1"/>
  <c r="B29" i="45"/>
  <c r="E29" i="45" s="1"/>
  <c r="H29" i="45" s="1"/>
  <c r="F29" i="45" s="1"/>
  <c r="B30" i="45"/>
  <c r="E30" i="45" s="1"/>
  <c r="H30" i="45" s="1"/>
  <c r="F30" i="45" s="1"/>
  <c r="B31" i="45"/>
  <c r="E31" i="45" s="1"/>
  <c r="H31" i="45" s="1"/>
  <c r="F31" i="45" s="1"/>
  <c r="B32" i="45"/>
  <c r="E32" i="45" s="1"/>
  <c r="H32" i="45" s="1"/>
  <c r="F32" i="45" s="1"/>
  <c r="B33" i="45"/>
  <c r="E33" i="45" s="1"/>
  <c r="H33" i="45" s="1"/>
  <c r="F33" i="45" s="1"/>
  <c r="E7" i="46"/>
  <c r="H7" i="46" s="1"/>
  <c r="F7" i="46" s="1"/>
  <c r="B8" i="46"/>
  <c r="E8" i="46" s="1"/>
  <c r="H8" i="46" s="1"/>
  <c r="F8" i="46" s="1"/>
  <c r="B9" i="46"/>
  <c r="E9" i="46" s="1"/>
  <c r="H9" i="46" s="1"/>
  <c r="F9" i="46" s="1"/>
  <c r="B10" i="46"/>
  <c r="E10" i="46" s="1"/>
  <c r="H10" i="46" s="1"/>
  <c r="F10" i="46" s="1"/>
  <c r="B11" i="46"/>
  <c r="E11" i="46"/>
  <c r="H11" i="46" s="1"/>
  <c r="F11" i="46" s="1"/>
  <c r="B12" i="46"/>
  <c r="E12" i="46" s="1"/>
  <c r="H12" i="46" s="1"/>
  <c r="F12" i="46" s="1"/>
  <c r="B13" i="46"/>
  <c r="E13" i="46" s="1"/>
  <c r="H13" i="46" s="1"/>
  <c r="F13" i="46" s="1"/>
  <c r="B14" i="46"/>
  <c r="E14" i="46" s="1"/>
  <c r="H14" i="46" s="1"/>
  <c r="F14" i="46" s="1"/>
  <c r="B15" i="46"/>
  <c r="E15" i="46" s="1"/>
  <c r="H15" i="46"/>
  <c r="F15" i="46" s="1"/>
  <c r="B16" i="46"/>
  <c r="E16" i="46" s="1"/>
  <c r="H16" i="46" s="1"/>
  <c r="F16" i="46" s="1"/>
  <c r="B17" i="46"/>
  <c r="E17" i="46" s="1"/>
  <c r="H17" i="46" s="1"/>
  <c r="F17" i="46" s="1"/>
  <c r="B18" i="46"/>
  <c r="E18" i="46" s="1"/>
  <c r="H18" i="46" s="1"/>
  <c r="F18" i="46" s="1"/>
  <c r="B19" i="46"/>
  <c r="E19" i="46"/>
  <c r="H19" i="46" s="1"/>
  <c r="F19" i="46" s="1"/>
  <c r="B20" i="46"/>
  <c r="E20" i="46" s="1"/>
  <c r="H20" i="46" s="1"/>
  <c r="F20" i="46" s="1"/>
  <c r="B21" i="46"/>
  <c r="E21" i="46" s="1"/>
  <c r="H21" i="46" s="1"/>
  <c r="F21" i="46" s="1"/>
  <c r="B22" i="46"/>
  <c r="E22" i="46" s="1"/>
  <c r="H22" i="46" s="1"/>
  <c r="F22" i="46" s="1"/>
  <c r="B23" i="46"/>
  <c r="E23" i="46"/>
  <c r="H23" i="46" s="1"/>
  <c r="F23" i="46" s="1"/>
  <c r="B24" i="46"/>
  <c r="E24" i="46" s="1"/>
  <c r="H24" i="46" s="1"/>
  <c r="F24" i="46" s="1"/>
  <c r="B25" i="46"/>
  <c r="E25" i="46" s="1"/>
  <c r="H25" i="46" s="1"/>
  <c r="F25" i="46" s="1"/>
  <c r="B26" i="46"/>
  <c r="E26" i="46" s="1"/>
  <c r="H26" i="46" s="1"/>
  <c r="F26" i="46" s="1"/>
  <c r="B27" i="46"/>
  <c r="E27" i="46"/>
  <c r="H27" i="46" s="1"/>
  <c r="F27" i="46" s="1"/>
  <c r="B28" i="46"/>
  <c r="E28" i="46" s="1"/>
  <c r="H28" i="46" s="1"/>
  <c r="F28" i="46" s="1"/>
  <c r="B29" i="46"/>
  <c r="E29" i="46" s="1"/>
  <c r="H29" i="46" s="1"/>
  <c r="F29" i="46" s="1"/>
  <c r="B30" i="46"/>
  <c r="E30" i="46" s="1"/>
  <c r="H30" i="46" s="1"/>
  <c r="F30" i="46" s="1"/>
  <c r="B31" i="46"/>
  <c r="E31" i="46" s="1"/>
  <c r="H31" i="46" s="1"/>
  <c r="F31" i="46" s="1"/>
  <c r="B32" i="46"/>
  <c r="E32" i="46" s="1"/>
  <c r="H32" i="46" s="1"/>
  <c r="F32" i="46" s="1"/>
  <c r="B33" i="46"/>
  <c r="E33" i="46" s="1"/>
  <c r="H33" i="46" s="1"/>
  <c r="F33" i="46" s="1"/>
  <c r="D8" i="47"/>
  <c r="H8" i="47"/>
  <c r="K8" i="47" s="1"/>
  <c r="D9" i="47"/>
  <c r="E9" i="47"/>
  <c r="H9" i="47" s="1"/>
  <c r="K9" i="47" s="1"/>
  <c r="D10" i="47"/>
  <c r="E10" i="47"/>
  <c r="H10" i="47" s="1"/>
  <c r="K10" i="47" s="1"/>
  <c r="D11" i="47"/>
  <c r="E11" i="47"/>
  <c r="H11" i="47" s="1"/>
  <c r="K11" i="47" s="1"/>
  <c r="D12" i="47"/>
  <c r="E12" i="47"/>
  <c r="H12" i="47" s="1"/>
  <c r="K12" i="47" s="1"/>
  <c r="D13" i="47"/>
  <c r="E13" i="47"/>
  <c r="H13" i="47" s="1"/>
  <c r="K13" i="47" s="1"/>
  <c r="D14" i="47"/>
  <c r="E14" i="47"/>
  <c r="H14" i="47" s="1"/>
  <c r="K14" i="47" s="1"/>
  <c r="D15" i="47"/>
  <c r="E15" i="47"/>
  <c r="H15" i="47" s="1"/>
  <c r="K15" i="47" s="1"/>
  <c r="D16" i="47"/>
  <c r="E16" i="47"/>
  <c r="H16" i="47" s="1"/>
  <c r="K16" i="47" s="1"/>
  <c r="D17" i="47"/>
  <c r="E17" i="47"/>
  <c r="H17" i="47" s="1"/>
  <c r="K17" i="47" s="1"/>
  <c r="D18" i="47"/>
  <c r="E18" i="47"/>
  <c r="H18" i="47" s="1"/>
  <c r="K18" i="47"/>
  <c r="D19" i="47"/>
  <c r="E19" i="47"/>
  <c r="H19" i="47" s="1"/>
  <c r="K19" i="47" s="1"/>
  <c r="D20" i="47"/>
  <c r="E20" i="47"/>
  <c r="H20" i="47" s="1"/>
  <c r="K20" i="47" s="1"/>
  <c r="D21" i="47"/>
  <c r="E21" i="47"/>
  <c r="H21" i="47" s="1"/>
  <c r="K21" i="47" s="1"/>
  <c r="D22" i="47"/>
  <c r="E22" i="47"/>
  <c r="H22" i="47" s="1"/>
  <c r="K22" i="47" s="1"/>
  <c r="D23" i="47"/>
  <c r="E23" i="47"/>
  <c r="H23" i="47" s="1"/>
  <c r="K23" i="47" s="1"/>
  <c r="D24" i="47"/>
  <c r="E24" i="47"/>
  <c r="H24" i="47" s="1"/>
  <c r="K24" i="47" s="1"/>
  <c r="D25" i="47"/>
  <c r="E25" i="47"/>
  <c r="H25" i="47" s="1"/>
  <c r="K25" i="47" s="1"/>
  <c r="D26" i="47"/>
  <c r="E26" i="47"/>
  <c r="H26" i="47" s="1"/>
  <c r="K26" i="47" s="1"/>
  <c r="D27" i="47"/>
  <c r="E27" i="47"/>
  <c r="H27" i="47" s="1"/>
  <c r="K27" i="47" s="1"/>
  <c r="D28" i="47"/>
  <c r="E28" i="47"/>
  <c r="H28" i="47" s="1"/>
  <c r="K28" i="47" s="1"/>
  <c r="D29" i="47"/>
  <c r="E29" i="47"/>
  <c r="H29" i="47" s="1"/>
  <c r="K29" i="47" s="1"/>
  <c r="D30" i="47"/>
  <c r="E30" i="47"/>
  <c r="H30" i="47" s="1"/>
  <c r="K30" i="47" s="1"/>
  <c r="D31" i="47"/>
  <c r="E31" i="47"/>
  <c r="H31" i="47" s="1"/>
  <c r="K31" i="47" s="1"/>
  <c r="D32" i="47"/>
  <c r="E32" i="47"/>
  <c r="H32" i="47" s="1"/>
  <c r="K32" i="47" s="1"/>
  <c r="D33" i="47"/>
  <c r="E33" i="47"/>
  <c r="H33" i="47" s="1"/>
  <c r="K33" i="47" s="1"/>
  <c r="E34" i="47"/>
  <c r="H34" i="47" s="1"/>
  <c r="K34" i="47" s="1"/>
  <c r="E8" i="16"/>
  <c r="H8" i="16" s="1"/>
  <c r="F8" i="16" s="1"/>
  <c r="B9" i="16"/>
  <c r="E9" i="16" s="1"/>
  <c r="H9" i="16" s="1"/>
  <c r="F9" i="16" s="1"/>
  <c r="B10" i="16"/>
  <c r="E10" i="16" s="1"/>
  <c r="H10" i="16" s="1"/>
  <c r="F10" i="16" s="1"/>
  <c r="B11" i="16"/>
  <c r="E11" i="16" s="1"/>
  <c r="H11" i="16" s="1"/>
  <c r="F11" i="16" s="1"/>
  <c r="B12" i="16"/>
  <c r="E12" i="16" s="1"/>
  <c r="H12" i="16" s="1"/>
  <c r="F12" i="16" s="1"/>
  <c r="B13" i="16"/>
  <c r="E13" i="16"/>
  <c r="H13" i="16" s="1"/>
  <c r="F13" i="16" s="1"/>
  <c r="B14" i="16"/>
  <c r="E14" i="16"/>
  <c r="H14" i="16" s="1"/>
  <c r="F14" i="16" s="1"/>
  <c r="B15" i="16"/>
  <c r="E15" i="16" s="1"/>
  <c r="H15" i="16" s="1"/>
  <c r="F15" i="16" s="1"/>
  <c r="B16" i="16"/>
  <c r="E16" i="16"/>
  <c r="H16" i="16" s="1"/>
  <c r="F16" i="16" s="1"/>
  <c r="B17" i="16"/>
  <c r="E17" i="16" s="1"/>
  <c r="H17" i="16" s="1"/>
  <c r="F17" i="16" s="1"/>
  <c r="B18" i="16"/>
  <c r="E18" i="16" s="1"/>
  <c r="H18" i="16" s="1"/>
  <c r="F18" i="16" s="1"/>
  <c r="B19" i="16"/>
  <c r="E19" i="16" s="1"/>
  <c r="H19" i="16" s="1"/>
  <c r="F19" i="16" s="1"/>
  <c r="B20" i="16"/>
  <c r="E20" i="16" s="1"/>
  <c r="H20" i="16" s="1"/>
  <c r="F20" i="16" s="1"/>
  <c r="B21" i="16"/>
  <c r="E21" i="16"/>
  <c r="H21" i="16" s="1"/>
  <c r="F21" i="16" s="1"/>
  <c r="B22" i="16"/>
  <c r="E22" i="16" s="1"/>
  <c r="H22" i="16" s="1"/>
  <c r="F22" i="16" s="1"/>
  <c r="B23" i="16"/>
  <c r="E23" i="16" s="1"/>
  <c r="H23" i="16" s="1"/>
  <c r="F23" i="16" s="1"/>
  <c r="B24" i="16"/>
  <c r="E24" i="16" s="1"/>
  <c r="H24" i="16" s="1"/>
  <c r="F24" i="16" s="1"/>
  <c r="B25" i="16"/>
  <c r="E25" i="16" s="1"/>
  <c r="H25" i="16" s="1"/>
  <c r="F25" i="16" s="1"/>
  <c r="B26" i="16"/>
  <c r="E26" i="16" s="1"/>
  <c r="H26" i="16" s="1"/>
  <c r="F26" i="16" s="1"/>
  <c r="B27" i="16"/>
  <c r="E27" i="16" s="1"/>
  <c r="H27" i="16" s="1"/>
  <c r="F27" i="16" s="1"/>
  <c r="B28" i="16"/>
  <c r="E28" i="16" s="1"/>
  <c r="H28" i="16" s="1"/>
  <c r="F28" i="16" s="1"/>
  <c r="B29" i="16"/>
  <c r="E29" i="16" s="1"/>
  <c r="H29" i="16" s="1"/>
  <c r="F29" i="16" s="1"/>
  <c r="B30" i="16"/>
  <c r="E30" i="16"/>
  <c r="H30" i="16" s="1"/>
  <c r="F30" i="16" s="1"/>
  <c r="B31" i="16"/>
  <c r="E31" i="16" s="1"/>
  <c r="H31" i="16" s="1"/>
  <c r="F31" i="16" s="1"/>
  <c r="B32" i="16"/>
  <c r="E32" i="16"/>
  <c r="H32" i="16" s="1"/>
  <c r="F32" i="16" s="1"/>
  <c r="B33" i="16"/>
  <c r="E33" i="16" s="1"/>
  <c r="H33" i="16" s="1"/>
  <c r="F33" i="16" s="1"/>
  <c r="B34" i="16"/>
  <c r="E34" i="16" s="1"/>
  <c r="H34" i="16" s="1"/>
  <c r="F34" i="16" s="1"/>
  <c r="B35" i="16"/>
  <c r="E35" i="16" s="1"/>
  <c r="H35" i="16" s="1"/>
  <c r="F35" i="16" s="1"/>
  <c r="B36" i="16"/>
  <c r="E36" i="16" s="1"/>
  <c r="H36" i="16" s="1"/>
  <c r="F36" i="16" s="1"/>
  <c r="B37" i="16"/>
  <c r="E37" i="16"/>
  <c r="H37" i="16" s="1"/>
  <c r="F37" i="16" s="1"/>
  <c r="B38" i="16"/>
  <c r="E38" i="16"/>
  <c r="H38" i="16" s="1"/>
  <c r="F38" i="16" s="1"/>
  <c r="B39" i="16"/>
  <c r="E39" i="16" s="1"/>
  <c r="H39" i="16" s="1"/>
  <c r="F39" i="16" s="1"/>
  <c r="B40" i="16"/>
  <c r="E40" i="16"/>
  <c r="H40" i="16" s="1"/>
  <c r="F40" i="16" s="1"/>
  <c r="B41" i="16"/>
  <c r="E41" i="16" s="1"/>
  <c r="H41" i="16"/>
  <c r="F41" i="16" s="1"/>
  <c r="B42" i="16"/>
  <c r="E42" i="16" s="1"/>
  <c r="H42" i="16" s="1"/>
  <c r="F42" i="16" s="1"/>
  <c r="B43" i="16"/>
  <c r="E43" i="16"/>
  <c r="H43" i="16" s="1"/>
  <c r="F43" i="16" s="1"/>
  <c r="B44" i="16"/>
  <c r="E44" i="16" s="1"/>
  <c r="H44" i="16" s="1"/>
  <c r="F44" i="16" s="1"/>
  <c r="B45" i="16"/>
  <c r="E45" i="16" s="1"/>
  <c r="H45" i="16" s="1"/>
  <c r="F45" i="16" s="1"/>
  <c r="E8" i="31"/>
  <c r="H8" i="31" s="1"/>
  <c r="F8" i="31" s="1"/>
  <c r="B9" i="31"/>
  <c r="E9" i="31" s="1"/>
  <c r="H9" i="31" s="1"/>
  <c r="F9" i="31" s="1"/>
  <c r="B10" i="31"/>
  <c r="E10" i="31" s="1"/>
  <c r="H10" i="31" s="1"/>
  <c r="F10" i="31" s="1"/>
  <c r="B11" i="31"/>
  <c r="E11" i="31" s="1"/>
  <c r="H11" i="31" s="1"/>
  <c r="F11" i="31" s="1"/>
  <c r="B12" i="31"/>
  <c r="E12" i="31"/>
  <c r="H12" i="31" s="1"/>
  <c r="F12" i="31" s="1"/>
  <c r="B13" i="31"/>
  <c r="E13" i="31"/>
  <c r="H13" i="31" s="1"/>
  <c r="F13" i="31" s="1"/>
  <c r="B14" i="31"/>
  <c r="E14" i="31"/>
  <c r="H14" i="31" s="1"/>
  <c r="F14" i="31" s="1"/>
  <c r="B15" i="31"/>
  <c r="E15" i="31" s="1"/>
  <c r="H15" i="31" s="1"/>
  <c r="F15" i="31" s="1"/>
  <c r="B16" i="31"/>
  <c r="E16" i="31" s="1"/>
  <c r="H16" i="31" s="1"/>
  <c r="F16" i="31" s="1"/>
  <c r="B17" i="31"/>
  <c r="E17" i="31" s="1"/>
  <c r="H17" i="31" s="1"/>
  <c r="F17" i="31" s="1"/>
  <c r="B18" i="31"/>
  <c r="E18" i="31" s="1"/>
  <c r="H18" i="31" s="1"/>
  <c r="F18" i="31"/>
  <c r="B19" i="31"/>
  <c r="E19" i="31"/>
  <c r="H19" i="31" s="1"/>
  <c r="F19" i="31" s="1"/>
  <c r="B20" i="31"/>
  <c r="E20" i="31" s="1"/>
  <c r="H20" i="31" s="1"/>
  <c r="F20" i="31" s="1"/>
  <c r="B21" i="31"/>
  <c r="E21" i="31" s="1"/>
  <c r="H21" i="31" s="1"/>
  <c r="F21" i="31" s="1"/>
  <c r="B22" i="31"/>
  <c r="E22" i="31" s="1"/>
  <c r="H22" i="31" s="1"/>
  <c r="F22" i="31" s="1"/>
  <c r="B23" i="31"/>
  <c r="E23" i="31" s="1"/>
  <c r="H23" i="31" s="1"/>
  <c r="F23" i="31" s="1"/>
  <c r="B24" i="31"/>
  <c r="E24" i="31" s="1"/>
  <c r="H24" i="31" s="1"/>
  <c r="F24" i="31" s="1"/>
  <c r="B25" i="31"/>
  <c r="E25" i="31" s="1"/>
  <c r="H25" i="31" s="1"/>
  <c r="F25" i="31" s="1"/>
  <c r="B26" i="31"/>
  <c r="E26" i="31" s="1"/>
  <c r="H26" i="31" s="1"/>
  <c r="F26" i="31" s="1"/>
  <c r="B27" i="31"/>
  <c r="E27" i="31" s="1"/>
  <c r="H27" i="31" s="1"/>
  <c r="F27" i="31" s="1"/>
  <c r="B28" i="31"/>
  <c r="E28" i="31" s="1"/>
  <c r="H28" i="31" s="1"/>
  <c r="F28" i="31" s="1"/>
  <c r="B29" i="31"/>
  <c r="E29" i="31"/>
  <c r="H29" i="31" s="1"/>
  <c r="F29" i="31" s="1"/>
  <c r="B30" i="31"/>
  <c r="E30" i="31" s="1"/>
  <c r="H30" i="31" s="1"/>
  <c r="F30" i="31" s="1"/>
  <c r="B31" i="31"/>
  <c r="E31" i="31" s="1"/>
  <c r="H31" i="31" s="1"/>
  <c r="F31" i="31" s="1"/>
  <c r="B32" i="31"/>
  <c r="E32" i="31" s="1"/>
  <c r="H32" i="31" s="1"/>
  <c r="F32" i="31" s="1"/>
  <c r="B33" i="31"/>
  <c r="E33" i="31" s="1"/>
  <c r="H33" i="31" s="1"/>
  <c r="F33" i="31" s="1"/>
  <c r="B34" i="31"/>
  <c r="E34" i="31" s="1"/>
  <c r="H34" i="31" s="1"/>
  <c r="F34" i="31" s="1"/>
  <c r="B35" i="31"/>
  <c r="E35" i="31" s="1"/>
  <c r="H35" i="31" s="1"/>
  <c r="F35" i="31" s="1"/>
  <c r="B36" i="31"/>
  <c r="E36" i="31" s="1"/>
  <c r="H36" i="31" s="1"/>
  <c r="F36" i="31" s="1"/>
  <c r="B37" i="31"/>
  <c r="E37" i="31" s="1"/>
  <c r="H37" i="31" s="1"/>
  <c r="F37" i="31" s="1"/>
  <c r="B38" i="31"/>
  <c r="E38" i="31" s="1"/>
  <c r="H38" i="31" s="1"/>
  <c r="F38" i="31" s="1"/>
  <c r="B39" i="31"/>
  <c r="E39" i="31"/>
  <c r="H39" i="31" s="1"/>
  <c r="F39" i="31" s="1"/>
  <c r="B40" i="31"/>
  <c r="E40" i="31"/>
  <c r="H40" i="31" s="1"/>
  <c r="F40" i="31"/>
  <c r="B41" i="31"/>
  <c r="E41" i="31" s="1"/>
  <c r="H41" i="31"/>
  <c r="F41" i="31" s="1"/>
  <c r="B42" i="31"/>
  <c r="E42" i="31" s="1"/>
  <c r="H42" i="31" s="1"/>
  <c r="B43" i="31"/>
  <c r="E43" i="31"/>
  <c r="H43" i="31" s="1"/>
  <c r="F43" i="31" s="1"/>
  <c r="B44" i="31"/>
  <c r="E44" i="31" s="1"/>
  <c r="H44" i="31" s="1"/>
  <c r="F44" i="31" s="1"/>
  <c r="B45" i="31"/>
  <c r="E45" i="31" s="1"/>
  <c r="F45" i="31"/>
  <c r="B9" i="32"/>
  <c r="B10" i="32"/>
  <c r="B11" i="32"/>
  <c r="B12" i="32"/>
  <c r="B13" i="32"/>
  <c r="B14" i="32"/>
  <c r="B15" i="32"/>
  <c r="C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C33" i="32"/>
  <c r="B34" i="32"/>
  <c r="B35" i="32"/>
  <c r="C35" i="32"/>
  <c r="B36" i="32"/>
  <c r="B37" i="32"/>
  <c r="B38" i="32"/>
  <c r="B39" i="32"/>
  <c r="B40" i="32"/>
  <c r="B41" i="32"/>
  <c r="B42" i="32"/>
  <c r="B43" i="32"/>
  <c r="C43" i="32"/>
  <c r="E43" i="32" s="1"/>
  <c r="I43" i="32" s="1"/>
  <c r="G43" i="32" s="1"/>
  <c r="B44" i="32"/>
  <c r="B45" i="32"/>
  <c r="E45" i="32" s="1"/>
  <c r="I45" i="32" s="1"/>
  <c r="G45" i="32" s="1"/>
  <c r="D6" i="33"/>
  <c r="H6" i="33"/>
  <c r="J6" i="33"/>
  <c r="K6" i="33"/>
  <c r="M6" i="33"/>
  <c r="L6" i="33" s="1"/>
  <c r="D7" i="33"/>
  <c r="H7" i="33"/>
  <c r="J7" i="33"/>
  <c r="K7" i="33"/>
  <c r="M7" i="33"/>
  <c r="D8" i="33"/>
  <c r="H8" i="33"/>
  <c r="J8" i="33"/>
  <c r="K8" i="33"/>
  <c r="M8" i="33"/>
  <c r="C10" i="32" s="1"/>
  <c r="D9" i="33"/>
  <c r="H9" i="33"/>
  <c r="J9" i="33"/>
  <c r="K9" i="33"/>
  <c r="M9" i="33"/>
  <c r="L9" i="33" s="1"/>
  <c r="D10" i="33"/>
  <c r="H10" i="33"/>
  <c r="J10" i="33"/>
  <c r="K10" i="33"/>
  <c r="M10" i="33"/>
  <c r="L10" i="33" s="1"/>
  <c r="D11" i="33"/>
  <c r="H11" i="33"/>
  <c r="J11" i="33"/>
  <c r="K11" i="33"/>
  <c r="M11" i="33"/>
  <c r="D12" i="33"/>
  <c r="H12" i="33"/>
  <c r="J12" i="33"/>
  <c r="K12" i="33"/>
  <c r="M12" i="33"/>
  <c r="D13" i="33"/>
  <c r="H13" i="33"/>
  <c r="J13" i="33"/>
  <c r="K13" i="33"/>
  <c r="M13" i="33"/>
  <c r="D14" i="33"/>
  <c r="H14" i="33"/>
  <c r="J14" i="33"/>
  <c r="K14" i="33"/>
  <c r="M14" i="33"/>
  <c r="D15" i="33"/>
  <c r="H15" i="33"/>
  <c r="J15" i="33"/>
  <c r="K15" i="33"/>
  <c r="M15" i="33"/>
  <c r="D16" i="33"/>
  <c r="H16" i="33"/>
  <c r="J16" i="33"/>
  <c r="K16" i="33"/>
  <c r="L16" i="33"/>
  <c r="M16" i="33"/>
  <c r="C18" i="32" s="1"/>
  <c r="D17" i="33"/>
  <c r="H17" i="33"/>
  <c r="J17" i="33"/>
  <c r="K17" i="33"/>
  <c r="M17" i="33"/>
  <c r="L17" i="33" s="1"/>
  <c r="D18" i="33"/>
  <c r="H18" i="33"/>
  <c r="J18" i="33"/>
  <c r="K18" i="33"/>
  <c r="M18" i="33"/>
  <c r="L18" i="33" s="1"/>
  <c r="D19" i="33"/>
  <c r="H19" i="33"/>
  <c r="J19" i="33"/>
  <c r="K19" i="33"/>
  <c r="M19" i="33"/>
  <c r="C21" i="32" s="1"/>
  <c r="D20" i="33"/>
  <c r="H20" i="33"/>
  <c r="J20" i="33"/>
  <c r="K20" i="33"/>
  <c r="M20" i="33"/>
  <c r="C22" i="32" s="1"/>
  <c r="D21" i="33"/>
  <c r="H21" i="33"/>
  <c r="J21" i="33"/>
  <c r="K21" i="33"/>
  <c r="M21" i="33"/>
  <c r="L21" i="33" s="1"/>
  <c r="D22" i="33"/>
  <c r="H22" i="33"/>
  <c r="J22" i="33"/>
  <c r="K22" i="33"/>
  <c r="M22" i="33"/>
  <c r="C24" i="32" s="1"/>
  <c r="D23" i="33"/>
  <c r="H23" i="33"/>
  <c r="J23" i="33"/>
  <c r="K23" i="33"/>
  <c r="M23" i="33"/>
  <c r="D24" i="33"/>
  <c r="H24" i="33"/>
  <c r="J24" i="33"/>
  <c r="K24" i="33"/>
  <c r="M24" i="33"/>
  <c r="C26" i="32" s="1"/>
  <c r="D25" i="33"/>
  <c r="H25" i="33"/>
  <c r="J25" i="33"/>
  <c r="K25" i="33"/>
  <c r="M25" i="33"/>
  <c r="L25" i="33" s="1"/>
  <c r="D26" i="33"/>
  <c r="H26" i="33"/>
  <c r="J26" i="33"/>
  <c r="K26" i="33"/>
  <c r="M26" i="33"/>
  <c r="C28" i="32" s="1"/>
  <c r="D27" i="33"/>
  <c r="H27" i="33"/>
  <c r="J27" i="33"/>
  <c r="K27" i="33"/>
  <c r="M27" i="33"/>
  <c r="C29" i="32" s="1"/>
  <c r="D28" i="33"/>
  <c r="H28" i="33"/>
  <c r="J28" i="33"/>
  <c r="K28" i="33"/>
  <c r="M28" i="33"/>
  <c r="D29" i="33"/>
  <c r="H29" i="33"/>
  <c r="J29" i="33"/>
  <c r="K29" i="33"/>
  <c r="M29" i="33"/>
  <c r="L29" i="33" s="1"/>
  <c r="D30" i="33"/>
  <c r="H30" i="33"/>
  <c r="J30" i="33"/>
  <c r="K30" i="33"/>
  <c r="M30" i="33"/>
  <c r="D31" i="33"/>
  <c r="H31" i="33"/>
  <c r="J31" i="33"/>
  <c r="K31" i="33"/>
  <c r="M31" i="33"/>
  <c r="D32" i="33"/>
  <c r="H32" i="33"/>
  <c r="J32" i="33"/>
  <c r="K32" i="33"/>
  <c r="M32" i="33"/>
  <c r="C34" i="32" s="1"/>
  <c r="D33" i="33"/>
  <c r="H33" i="33"/>
  <c r="J33" i="33"/>
  <c r="K33" i="33"/>
  <c r="M33" i="33"/>
  <c r="L33" i="33" s="1"/>
  <c r="D34" i="33"/>
  <c r="H34" i="33"/>
  <c r="J34" i="33"/>
  <c r="K34" i="33"/>
  <c r="M34" i="33"/>
  <c r="C36" i="32" s="1"/>
  <c r="D35" i="33"/>
  <c r="H35" i="33"/>
  <c r="J35" i="33"/>
  <c r="K35" i="33"/>
  <c r="M35" i="33"/>
  <c r="C37" i="32" s="1"/>
  <c r="D36" i="33"/>
  <c r="H36" i="33"/>
  <c r="J36" i="33"/>
  <c r="K36" i="33"/>
  <c r="M36" i="33"/>
  <c r="D37" i="33"/>
  <c r="H37" i="33"/>
  <c r="J37" i="33"/>
  <c r="K37" i="33"/>
  <c r="M37" i="33"/>
  <c r="D38" i="33"/>
  <c r="H38" i="33"/>
  <c r="J38" i="33"/>
  <c r="K38" i="33"/>
  <c r="L38" i="33" s="1"/>
  <c r="M38" i="33"/>
  <c r="C40" i="32" s="1"/>
  <c r="D39" i="33"/>
  <c r="H39" i="33"/>
  <c r="J39" i="33"/>
  <c r="K39" i="33"/>
  <c r="M39" i="33"/>
  <c r="D40" i="33"/>
  <c r="H40" i="33"/>
  <c r="J40" i="33"/>
  <c r="K40" i="33"/>
  <c r="M40" i="33"/>
  <c r="C42" i="32" s="1"/>
  <c r="D41" i="33"/>
  <c r="H41" i="33"/>
  <c r="J41" i="33"/>
  <c r="K41" i="33"/>
  <c r="M41" i="33"/>
  <c r="B42" i="33"/>
  <c r="J42" i="33" s="1"/>
  <c r="D42" i="33"/>
  <c r="H42" i="33"/>
  <c r="M42" i="33"/>
  <c r="B43" i="33"/>
  <c r="H43" i="33"/>
  <c r="J43" i="33"/>
  <c r="M43" i="33"/>
  <c r="C45" i="32" s="1"/>
  <c r="E8" i="38"/>
  <c r="H8" i="38" s="1"/>
  <c r="F8" i="38" s="1"/>
  <c r="B9" i="38"/>
  <c r="E9" i="38" s="1"/>
  <c r="H9" i="38" s="1"/>
  <c r="F9" i="38" s="1"/>
  <c r="B10" i="38"/>
  <c r="E10" i="38" s="1"/>
  <c r="H10" i="38" s="1"/>
  <c r="F10" i="38" s="1"/>
  <c r="B11" i="38"/>
  <c r="E11" i="38" s="1"/>
  <c r="H11" i="38" s="1"/>
  <c r="F11" i="38" s="1"/>
  <c r="B12" i="38"/>
  <c r="E12" i="38" s="1"/>
  <c r="H12" i="38" s="1"/>
  <c r="F12" i="38" s="1"/>
  <c r="B13" i="38"/>
  <c r="E13" i="38" s="1"/>
  <c r="H13" i="38" s="1"/>
  <c r="F13" i="38" s="1"/>
  <c r="B14" i="38"/>
  <c r="E14" i="38"/>
  <c r="H14" i="38" s="1"/>
  <c r="F14" i="38" s="1"/>
  <c r="B15" i="38"/>
  <c r="E15" i="38" s="1"/>
  <c r="H15" i="38" s="1"/>
  <c r="F15" i="38" s="1"/>
  <c r="B16" i="38"/>
  <c r="E16" i="38" s="1"/>
  <c r="H16" i="38" s="1"/>
  <c r="F16" i="38" s="1"/>
  <c r="B17" i="38"/>
  <c r="E17" i="38" s="1"/>
  <c r="H17" i="38" s="1"/>
  <c r="F17" i="38" s="1"/>
  <c r="B18" i="38"/>
  <c r="E18" i="38" s="1"/>
  <c r="H18" i="38" s="1"/>
  <c r="F18" i="38" s="1"/>
  <c r="B19" i="38"/>
  <c r="E19" i="38" s="1"/>
  <c r="H19" i="38" s="1"/>
  <c r="F19" i="38" s="1"/>
  <c r="B20" i="38"/>
  <c r="E20" i="38" s="1"/>
  <c r="H20" i="38" s="1"/>
  <c r="F20" i="38" s="1"/>
  <c r="B21" i="38"/>
  <c r="E21" i="38" s="1"/>
  <c r="H21" i="38" s="1"/>
  <c r="F21" i="38" s="1"/>
  <c r="B22" i="38"/>
  <c r="E22" i="38" s="1"/>
  <c r="H22" i="38" s="1"/>
  <c r="F22" i="38" s="1"/>
  <c r="B23" i="38"/>
  <c r="E23" i="38" s="1"/>
  <c r="H23" i="38" s="1"/>
  <c r="F23" i="38" s="1"/>
  <c r="B24" i="38"/>
  <c r="E24" i="38" s="1"/>
  <c r="H24" i="38" s="1"/>
  <c r="F24" i="38" s="1"/>
  <c r="B25" i="38"/>
  <c r="E25" i="38" s="1"/>
  <c r="H25" i="38" s="1"/>
  <c r="F25" i="38" s="1"/>
  <c r="B26" i="38"/>
  <c r="E26" i="38" s="1"/>
  <c r="H26" i="38" s="1"/>
  <c r="F26" i="38" s="1"/>
  <c r="B27" i="38"/>
  <c r="E27" i="38"/>
  <c r="H27" i="38" s="1"/>
  <c r="F27" i="38" s="1"/>
  <c r="B28" i="38"/>
  <c r="E28" i="38" s="1"/>
  <c r="H28" i="38" s="1"/>
  <c r="F28" i="38" s="1"/>
  <c r="B29" i="38"/>
  <c r="E29" i="38" s="1"/>
  <c r="H29" i="38" s="1"/>
  <c r="F29" i="38" s="1"/>
  <c r="B30" i="38"/>
  <c r="E30" i="38" s="1"/>
  <c r="H30" i="38" s="1"/>
  <c r="F30" i="38" s="1"/>
  <c r="B31" i="38"/>
  <c r="E31" i="38"/>
  <c r="H31" i="38" s="1"/>
  <c r="F31" i="38" s="1"/>
  <c r="B32" i="38"/>
  <c r="E32" i="38" s="1"/>
  <c r="H32" i="38" s="1"/>
  <c r="F32" i="38" s="1"/>
  <c r="B33" i="38"/>
  <c r="E33" i="38" s="1"/>
  <c r="H33" i="38"/>
  <c r="F33" i="38" s="1"/>
  <c r="B34" i="38"/>
  <c r="E34" i="38" s="1"/>
  <c r="H34" i="38" s="1"/>
  <c r="F34" i="38" s="1"/>
  <c r="B35" i="38"/>
  <c r="E35" i="38" s="1"/>
  <c r="H35" i="38" s="1"/>
  <c r="F35" i="38" s="1"/>
  <c r="B36" i="38"/>
  <c r="E36" i="38"/>
  <c r="H36" i="38" s="1"/>
  <c r="F36" i="38" s="1"/>
  <c r="B37" i="38"/>
  <c r="E37" i="38" s="1"/>
  <c r="H37" i="38" s="1"/>
  <c r="F37" i="38" s="1"/>
  <c r="B38" i="38"/>
  <c r="E38" i="38"/>
  <c r="H38" i="38" s="1"/>
  <c r="F38" i="38" s="1"/>
  <c r="B39" i="38"/>
  <c r="E39" i="38" s="1"/>
  <c r="H39" i="38" s="1"/>
  <c r="F39" i="38" s="1"/>
  <c r="B40" i="38"/>
  <c r="E40" i="38" s="1"/>
  <c r="H40" i="38" s="1"/>
  <c r="F40" i="38" s="1"/>
  <c r="B41" i="38"/>
  <c r="E41" i="38" s="1"/>
  <c r="H41" i="38" s="1"/>
  <c r="F41" i="38" s="1"/>
  <c r="B42" i="38"/>
  <c r="E42" i="38" s="1"/>
  <c r="H42" i="38" s="1"/>
  <c r="F42" i="38" s="1"/>
  <c r="B43" i="38"/>
  <c r="E43" i="38" s="1"/>
  <c r="H43" i="38" s="1"/>
  <c r="F43" i="38" s="1"/>
  <c r="B44" i="38"/>
  <c r="E44" i="38" s="1"/>
  <c r="H44" i="38" s="1"/>
  <c r="F44" i="38" s="1"/>
  <c r="B45" i="38"/>
  <c r="E8" i="39"/>
  <c r="H8" i="39"/>
  <c r="F8" i="39" s="1"/>
  <c r="B9" i="39"/>
  <c r="E9" i="39" s="1"/>
  <c r="H9" i="39" s="1"/>
  <c r="F9" i="39" s="1"/>
  <c r="B10" i="39"/>
  <c r="E10" i="39" s="1"/>
  <c r="H10" i="39" s="1"/>
  <c r="F10" i="39" s="1"/>
  <c r="B11" i="39"/>
  <c r="E11" i="39" s="1"/>
  <c r="H11" i="39" s="1"/>
  <c r="F11" i="39" s="1"/>
  <c r="B12" i="39"/>
  <c r="E12" i="39" s="1"/>
  <c r="H12" i="39" s="1"/>
  <c r="F12" i="39" s="1"/>
  <c r="B13" i="39"/>
  <c r="E13" i="39" s="1"/>
  <c r="H13" i="39" s="1"/>
  <c r="F13" i="39" s="1"/>
  <c r="B14" i="39"/>
  <c r="E14" i="39"/>
  <c r="H14" i="39" s="1"/>
  <c r="F14" i="39" s="1"/>
  <c r="B15" i="39"/>
  <c r="E15" i="39"/>
  <c r="H15" i="39" s="1"/>
  <c r="F15" i="39" s="1"/>
  <c r="B16" i="39"/>
  <c r="E16" i="39"/>
  <c r="H16" i="39"/>
  <c r="F16" i="39" s="1"/>
  <c r="B17" i="39"/>
  <c r="E17" i="39"/>
  <c r="H17" i="39" s="1"/>
  <c r="F17" i="39" s="1"/>
  <c r="B18" i="39"/>
  <c r="E18" i="39"/>
  <c r="H18" i="39" s="1"/>
  <c r="F18" i="39" s="1"/>
  <c r="B19" i="39"/>
  <c r="E19" i="39" s="1"/>
  <c r="H19" i="39" s="1"/>
  <c r="F19" i="39" s="1"/>
  <c r="B20" i="39"/>
  <c r="E20" i="39"/>
  <c r="H20" i="39" s="1"/>
  <c r="F20" i="39" s="1"/>
  <c r="B21" i="39"/>
  <c r="E21" i="39" s="1"/>
  <c r="H21" i="39" s="1"/>
  <c r="F21" i="39" s="1"/>
  <c r="B22" i="39"/>
  <c r="E22" i="39" s="1"/>
  <c r="H22" i="39" s="1"/>
  <c r="F22" i="39" s="1"/>
  <c r="B23" i="39"/>
  <c r="E23" i="39" s="1"/>
  <c r="H23" i="39" s="1"/>
  <c r="F23" i="39" s="1"/>
  <c r="B24" i="39"/>
  <c r="E24" i="39" s="1"/>
  <c r="H24" i="39" s="1"/>
  <c r="F24" i="39" s="1"/>
  <c r="B25" i="39"/>
  <c r="E25" i="39" s="1"/>
  <c r="H25" i="39" s="1"/>
  <c r="F25" i="39" s="1"/>
  <c r="B26" i="39"/>
  <c r="E26" i="39"/>
  <c r="H26" i="39" s="1"/>
  <c r="F26" i="39" s="1"/>
  <c r="B27" i="39"/>
  <c r="E27" i="39"/>
  <c r="H27" i="39" s="1"/>
  <c r="F27" i="39" s="1"/>
  <c r="B28" i="39"/>
  <c r="E28" i="39"/>
  <c r="H28" i="39"/>
  <c r="F28" i="39" s="1"/>
  <c r="B29" i="39"/>
  <c r="E29" i="39" s="1"/>
  <c r="H29" i="39" s="1"/>
  <c r="F29" i="39" s="1"/>
  <c r="B30" i="39"/>
  <c r="E30" i="39" s="1"/>
  <c r="H30" i="39" s="1"/>
  <c r="F30" i="39" s="1"/>
  <c r="B31" i="39"/>
  <c r="E31" i="39" s="1"/>
  <c r="H31" i="39" s="1"/>
  <c r="F31" i="39" s="1"/>
  <c r="B32" i="39"/>
  <c r="E32" i="39" s="1"/>
  <c r="H32" i="39" s="1"/>
  <c r="F32" i="39" s="1"/>
  <c r="B33" i="39"/>
  <c r="E33" i="39"/>
  <c r="H33" i="39" s="1"/>
  <c r="F33" i="39" s="1"/>
  <c r="B34" i="39"/>
  <c r="E34" i="39" s="1"/>
  <c r="H34" i="39" s="1"/>
  <c r="F34" i="39" s="1"/>
  <c r="B35" i="39"/>
  <c r="E35" i="39" s="1"/>
  <c r="H35" i="39" s="1"/>
  <c r="F35" i="39" s="1"/>
  <c r="B36" i="39"/>
  <c r="E36" i="39" s="1"/>
  <c r="H36" i="39" s="1"/>
  <c r="F36" i="39" s="1"/>
  <c r="B37" i="39"/>
  <c r="E37" i="39"/>
  <c r="H37" i="39" s="1"/>
  <c r="F37" i="39" s="1"/>
  <c r="B38" i="39"/>
  <c r="E38" i="39" s="1"/>
  <c r="H38" i="39" s="1"/>
  <c r="F38" i="39" s="1"/>
  <c r="B39" i="39"/>
  <c r="E39" i="39" s="1"/>
  <c r="H39" i="39" s="1"/>
  <c r="F39" i="39" s="1"/>
  <c r="B40" i="39"/>
  <c r="E40" i="39" s="1"/>
  <c r="H40" i="39" s="1"/>
  <c r="F40" i="39" s="1"/>
  <c r="B41" i="39"/>
  <c r="E41" i="39" s="1"/>
  <c r="H41" i="39" s="1"/>
  <c r="F41" i="39" s="1"/>
  <c r="B42" i="39"/>
  <c r="E42" i="39" s="1"/>
  <c r="H42" i="39" s="1"/>
  <c r="F42" i="39" s="1"/>
  <c r="B43" i="39"/>
  <c r="E43" i="39" s="1"/>
  <c r="H43" i="39" s="1"/>
  <c r="F43" i="39" s="1"/>
  <c r="B44" i="39"/>
  <c r="E44" i="39" s="1"/>
  <c r="H44" i="39" s="1"/>
  <c r="F44" i="39" s="1"/>
  <c r="B45" i="39"/>
  <c r="E45" i="39" s="1"/>
  <c r="H45" i="39"/>
  <c r="C8" i="17"/>
  <c r="E8" i="17" s="1"/>
  <c r="I8" i="17" s="1"/>
  <c r="H8" i="17" s="1"/>
  <c r="B9" i="17"/>
  <c r="C9" i="17"/>
  <c r="E9" i="17" s="1"/>
  <c r="I9" i="17" s="1"/>
  <c r="H9" i="17" s="1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E16" i="17" s="1"/>
  <c r="I16" i="17" s="1"/>
  <c r="H16" i="17" s="1"/>
  <c r="B17" i="17"/>
  <c r="C17" i="17"/>
  <c r="E17" i="17" s="1"/>
  <c r="I17" i="17" s="1"/>
  <c r="H17" i="17" s="1"/>
  <c r="B18" i="17"/>
  <c r="C18" i="17"/>
  <c r="B19" i="17"/>
  <c r="C19" i="17"/>
  <c r="B20" i="17"/>
  <c r="C20" i="17"/>
  <c r="B21" i="17"/>
  <c r="C21" i="17"/>
  <c r="E21" i="17" s="1"/>
  <c r="I21" i="17" s="1"/>
  <c r="H21" i="17" s="1"/>
  <c r="B22" i="17"/>
  <c r="C22" i="17"/>
  <c r="B23" i="17"/>
  <c r="C23" i="17"/>
  <c r="B24" i="17"/>
  <c r="C24" i="17"/>
  <c r="E24" i="17" s="1"/>
  <c r="I24" i="17" s="1"/>
  <c r="H24" i="17" s="1"/>
  <c r="B25" i="17"/>
  <c r="C25" i="17"/>
  <c r="E25" i="17" s="1"/>
  <c r="I25" i="17" s="1"/>
  <c r="H25" i="17" s="1"/>
  <c r="B26" i="17"/>
  <c r="C26" i="17"/>
  <c r="B27" i="17"/>
  <c r="C27" i="17"/>
  <c r="B28" i="17"/>
  <c r="C28" i="17"/>
  <c r="E28" i="17" s="1"/>
  <c r="I28" i="17" s="1"/>
  <c r="H28" i="17" s="1"/>
  <c r="B29" i="17"/>
  <c r="C29" i="17"/>
  <c r="E29" i="17" s="1"/>
  <c r="I29" i="17" s="1"/>
  <c r="H29" i="17" s="1"/>
  <c r="B30" i="17"/>
  <c r="C30" i="17"/>
  <c r="B31" i="17"/>
  <c r="C31" i="17"/>
  <c r="B32" i="17"/>
  <c r="C32" i="17"/>
  <c r="B33" i="17"/>
  <c r="C33" i="17"/>
  <c r="B34" i="17"/>
  <c r="C34" i="17"/>
  <c r="B35" i="17"/>
  <c r="C35" i="17"/>
  <c r="E35" i="17" s="1"/>
  <c r="I35" i="17" s="1"/>
  <c r="H35" i="17" s="1"/>
  <c r="B36" i="17"/>
  <c r="C36" i="17"/>
  <c r="B37" i="17"/>
  <c r="C37" i="17"/>
  <c r="B38" i="17"/>
  <c r="C38" i="17"/>
  <c r="B39" i="17"/>
  <c r="C39" i="17"/>
  <c r="B40" i="17"/>
  <c r="C40" i="17"/>
  <c r="B41" i="17"/>
  <c r="C41" i="17"/>
  <c r="B42" i="17"/>
  <c r="C42" i="17"/>
  <c r="B43" i="17"/>
  <c r="C43" i="17"/>
  <c r="E43" i="17" s="1"/>
  <c r="I43" i="17" s="1"/>
  <c r="H43" i="17" s="1"/>
  <c r="B44" i="17"/>
  <c r="C44" i="17"/>
  <c r="B45" i="17"/>
  <c r="C45" i="17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F24" i="18"/>
  <c r="D25" i="18"/>
  <c r="F25" i="18"/>
  <c r="D26" i="18"/>
  <c r="F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N7" i="14"/>
  <c r="N8" i="14"/>
  <c r="N9" i="14"/>
  <c r="N10" i="14"/>
  <c r="N11" i="14"/>
  <c r="E11" i="70" s="1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40" i="14"/>
  <c r="N41" i="14"/>
  <c r="N42" i="14"/>
  <c r="N6" i="15"/>
  <c r="N7" i="15"/>
  <c r="N8" i="15"/>
  <c r="C8" i="70" s="1"/>
  <c r="N9" i="15"/>
  <c r="N10" i="15"/>
  <c r="C10" i="70" s="1"/>
  <c r="N12" i="15"/>
  <c r="C12" i="70" s="1"/>
  <c r="N13" i="15"/>
  <c r="C13" i="70" s="1"/>
  <c r="N14" i="15"/>
  <c r="C14" i="70" s="1"/>
  <c r="N16" i="15"/>
  <c r="C16" i="70" s="1"/>
  <c r="N18" i="15"/>
  <c r="C18" i="70" s="1"/>
  <c r="N20" i="15"/>
  <c r="C20" i="70" s="1"/>
  <c r="N21" i="15"/>
  <c r="C21" i="70" s="1"/>
  <c r="N24" i="15"/>
  <c r="C24" i="70" s="1"/>
  <c r="N25" i="15"/>
  <c r="N26" i="15"/>
  <c r="N28" i="15"/>
  <c r="N29" i="15"/>
  <c r="N32" i="15"/>
  <c r="N33" i="15"/>
  <c r="N34" i="15"/>
  <c r="N35" i="15"/>
  <c r="N36" i="15"/>
  <c r="N37" i="15"/>
  <c r="N40" i="15"/>
  <c r="N41" i="15"/>
  <c r="N42" i="15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N28" i="6"/>
  <c r="B28" i="70" s="1"/>
  <c r="M28" i="6"/>
  <c r="M29" i="6"/>
  <c r="N30" i="6"/>
  <c r="B30" i="70" s="1"/>
  <c r="M30" i="6"/>
  <c r="N31" i="6"/>
  <c r="B31" i="70" s="1"/>
  <c r="M31" i="6"/>
  <c r="M32" i="6"/>
  <c r="N32" i="6" s="1"/>
  <c r="B32" i="70" s="1"/>
  <c r="M33" i="6"/>
  <c r="N33" i="6" s="1"/>
  <c r="B33" i="70" s="1"/>
  <c r="N34" i="6"/>
  <c r="B34" i="70" s="1"/>
  <c r="M34" i="6"/>
  <c r="M35" i="6"/>
  <c r="M36" i="6"/>
  <c r="N36" i="6" s="1"/>
  <c r="B36" i="70" s="1"/>
  <c r="M37" i="6"/>
  <c r="M38" i="6"/>
  <c r="N38" i="6" s="1"/>
  <c r="B38" i="70" s="1"/>
  <c r="M39" i="6"/>
  <c r="M40" i="6"/>
  <c r="N40" i="6" s="1"/>
  <c r="B40" i="70" s="1"/>
  <c r="M41" i="6"/>
  <c r="M42" i="6"/>
  <c r="N42" i="6" s="1"/>
  <c r="B42" i="70" s="1"/>
  <c r="F9" i="5"/>
  <c r="L9" i="5"/>
  <c r="F10" i="5"/>
  <c r="L10" i="5"/>
  <c r="F11" i="5"/>
  <c r="L11" i="5"/>
  <c r="F12" i="5"/>
  <c r="L12" i="5"/>
  <c r="F13" i="5"/>
  <c r="L13" i="5"/>
  <c r="F14" i="5"/>
  <c r="L14" i="5"/>
  <c r="F15" i="5"/>
  <c r="L15" i="5"/>
  <c r="D16" i="5"/>
  <c r="F16" i="5"/>
  <c r="L16" i="5"/>
  <c r="D17" i="5"/>
  <c r="F17" i="5"/>
  <c r="L17" i="5"/>
  <c r="D18" i="5"/>
  <c r="F18" i="5"/>
  <c r="L18" i="5"/>
  <c r="D19" i="5"/>
  <c r="F19" i="5"/>
  <c r="L19" i="5"/>
  <c r="D20" i="5"/>
  <c r="F20" i="5"/>
  <c r="L20" i="5"/>
  <c r="D21" i="5"/>
  <c r="F21" i="5"/>
  <c r="L21" i="5"/>
  <c r="D22" i="5"/>
  <c r="F22" i="5"/>
  <c r="L22" i="5"/>
  <c r="D23" i="5"/>
  <c r="F23" i="5"/>
  <c r="L23" i="5"/>
  <c r="D24" i="5"/>
  <c r="F24" i="5"/>
  <c r="L24" i="5"/>
  <c r="F25" i="5"/>
  <c r="L25" i="5"/>
  <c r="F26" i="5"/>
  <c r="L26" i="5"/>
  <c r="D27" i="5"/>
  <c r="F27" i="5"/>
  <c r="L27" i="5"/>
  <c r="D28" i="5"/>
  <c r="F28" i="5"/>
  <c r="L28" i="5"/>
  <c r="D29" i="5"/>
  <c r="F29" i="5"/>
  <c r="L29" i="5"/>
  <c r="D30" i="5"/>
  <c r="F30" i="5"/>
  <c r="L30" i="5"/>
  <c r="D31" i="5"/>
  <c r="F31" i="5"/>
  <c r="L31" i="5"/>
  <c r="D32" i="5"/>
  <c r="F32" i="5"/>
  <c r="L32" i="5"/>
  <c r="D33" i="5"/>
  <c r="F33" i="5"/>
  <c r="L33" i="5"/>
  <c r="D34" i="5"/>
  <c r="F34" i="5"/>
  <c r="L34" i="5"/>
  <c r="D35" i="5"/>
  <c r="F35" i="5"/>
  <c r="G35" i="5"/>
  <c r="L35" i="5"/>
  <c r="D36" i="5"/>
  <c r="F36" i="5"/>
  <c r="G36" i="5"/>
  <c r="L36" i="5"/>
  <c r="D37" i="5"/>
  <c r="F37" i="5"/>
  <c r="G37" i="5"/>
  <c r="L37" i="5"/>
  <c r="D38" i="5"/>
  <c r="F38" i="5"/>
  <c r="G38" i="5"/>
  <c r="L38" i="5"/>
  <c r="D39" i="5"/>
  <c r="F39" i="5"/>
  <c r="G39" i="5"/>
  <c r="L39" i="5"/>
  <c r="D40" i="5"/>
  <c r="F40" i="5"/>
  <c r="G40" i="5"/>
  <c r="L40" i="5"/>
  <c r="D41" i="5"/>
  <c r="F41" i="5"/>
  <c r="G41" i="5"/>
  <c r="L41" i="5"/>
  <c r="D42" i="5"/>
  <c r="F42" i="5"/>
  <c r="G42" i="5"/>
  <c r="L42" i="5"/>
  <c r="D43" i="5"/>
  <c r="G43" i="5"/>
  <c r="L43" i="5"/>
  <c r="B6" i="70"/>
  <c r="B7" i="70"/>
  <c r="B8" i="70"/>
  <c r="B9" i="70"/>
  <c r="C9" i="70"/>
  <c r="B10" i="70"/>
  <c r="B11" i="70"/>
  <c r="B12" i="70"/>
  <c r="B13" i="70"/>
  <c r="B14" i="70"/>
  <c r="B15" i="70"/>
  <c r="B16" i="70"/>
  <c r="B17" i="70"/>
  <c r="B18" i="70"/>
  <c r="B19" i="70"/>
  <c r="E19" i="70"/>
  <c r="B20" i="70"/>
  <c r="B21" i="70"/>
  <c r="B22" i="70"/>
  <c r="B23" i="70"/>
  <c r="B24" i="70"/>
  <c r="B25" i="70"/>
  <c r="C25" i="70"/>
  <c r="B26" i="70"/>
  <c r="C26" i="70"/>
  <c r="B27" i="70"/>
  <c r="D9" i="20"/>
  <c r="G9" i="20"/>
  <c r="D10" i="20"/>
  <c r="G10" i="20"/>
  <c r="D11" i="20"/>
  <c r="G11" i="20"/>
  <c r="B12" i="20"/>
  <c r="D12" i="20" s="1"/>
  <c r="E12" i="20"/>
  <c r="G12" i="20" s="1"/>
  <c r="B13" i="20"/>
  <c r="D13" i="20" s="1"/>
  <c r="E13" i="20"/>
  <c r="G13" i="20" s="1"/>
  <c r="B14" i="20"/>
  <c r="D14" i="20" s="1"/>
  <c r="E14" i="20"/>
  <c r="G14" i="20" s="1"/>
  <c r="B15" i="20"/>
  <c r="D15" i="20" s="1"/>
  <c r="E15" i="20"/>
  <c r="G15" i="20" s="1"/>
  <c r="B16" i="20"/>
  <c r="D16" i="20" s="1"/>
  <c r="E16" i="20"/>
  <c r="G16" i="20" s="1"/>
  <c r="B17" i="20"/>
  <c r="D17" i="20" s="1"/>
  <c r="E17" i="20"/>
  <c r="G17" i="20" s="1"/>
  <c r="B18" i="20"/>
  <c r="D18" i="20" s="1"/>
  <c r="E18" i="20"/>
  <c r="G18" i="20" s="1"/>
  <c r="B19" i="20"/>
  <c r="D19" i="20" s="1"/>
  <c r="E19" i="20"/>
  <c r="G19" i="20"/>
  <c r="B20" i="20"/>
  <c r="D20" i="20" s="1"/>
  <c r="E20" i="20"/>
  <c r="G20" i="20" s="1"/>
  <c r="H20" i="20"/>
  <c r="J20" i="20" s="1"/>
  <c r="B21" i="20"/>
  <c r="D21" i="20" s="1"/>
  <c r="E21" i="20"/>
  <c r="G21" i="20" s="1"/>
  <c r="H21" i="20"/>
  <c r="J21" i="20" s="1"/>
  <c r="B22" i="20"/>
  <c r="D22" i="20" s="1"/>
  <c r="E22" i="20"/>
  <c r="G22" i="20" s="1"/>
  <c r="H22" i="20"/>
  <c r="J22" i="20" s="1"/>
  <c r="B23" i="20"/>
  <c r="D23" i="20" s="1"/>
  <c r="E23" i="20"/>
  <c r="G23" i="20" s="1"/>
  <c r="H23" i="20"/>
  <c r="J23" i="20" s="1"/>
  <c r="B24" i="20"/>
  <c r="D24" i="20" s="1"/>
  <c r="E24" i="20"/>
  <c r="G24" i="20" s="1"/>
  <c r="H24" i="20"/>
  <c r="J24" i="20" s="1"/>
  <c r="B27" i="20"/>
  <c r="D27" i="20" s="1"/>
  <c r="E27" i="20"/>
  <c r="G27" i="20" s="1"/>
  <c r="H27" i="20"/>
  <c r="J27" i="20" s="1"/>
  <c r="B28" i="20"/>
  <c r="D28" i="20" s="1"/>
  <c r="E28" i="20"/>
  <c r="G28" i="20" s="1"/>
  <c r="H28" i="20"/>
  <c r="J28" i="20" s="1"/>
  <c r="B29" i="20"/>
  <c r="D29" i="20" s="1"/>
  <c r="E29" i="20"/>
  <c r="G29" i="20" s="1"/>
  <c r="H29" i="20"/>
  <c r="J29" i="20" s="1"/>
  <c r="B30" i="20"/>
  <c r="D30" i="20" s="1"/>
  <c r="E30" i="20"/>
  <c r="G30" i="20" s="1"/>
  <c r="H30" i="20"/>
  <c r="J30" i="20" s="1"/>
  <c r="B31" i="20"/>
  <c r="D31" i="20" s="1"/>
  <c r="E31" i="20"/>
  <c r="G31" i="20" s="1"/>
  <c r="H31" i="20"/>
  <c r="J31" i="20" s="1"/>
  <c r="B32" i="20"/>
  <c r="D32" i="20" s="1"/>
  <c r="E32" i="20"/>
  <c r="G32" i="20" s="1"/>
  <c r="H32" i="20"/>
  <c r="J32" i="20" s="1"/>
  <c r="B33" i="20"/>
  <c r="D33" i="20" s="1"/>
  <c r="E33" i="20"/>
  <c r="G33" i="20" s="1"/>
  <c r="H33" i="20"/>
  <c r="J33" i="20" s="1"/>
  <c r="B34" i="20"/>
  <c r="D34" i="20" s="1"/>
  <c r="E34" i="20"/>
  <c r="G34" i="20" s="1"/>
  <c r="H34" i="20"/>
  <c r="J34" i="20" s="1"/>
  <c r="B35" i="20"/>
  <c r="D35" i="20" s="1"/>
  <c r="E35" i="20"/>
  <c r="G35" i="20" s="1"/>
  <c r="H35" i="20"/>
  <c r="J35" i="20" s="1"/>
  <c r="B36" i="20"/>
  <c r="D36" i="20" s="1"/>
  <c r="E36" i="20"/>
  <c r="G36" i="20" s="1"/>
  <c r="H36" i="20"/>
  <c r="J36" i="20" s="1"/>
  <c r="B37" i="20"/>
  <c r="D37" i="20" s="1"/>
  <c r="E37" i="20"/>
  <c r="G37" i="20" s="1"/>
  <c r="H37" i="20"/>
  <c r="J37" i="20" s="1"/>
  <c r="B38" i="20"/>
  <c r="D38" i="20" s="1"/>
  <c r="E38" i="20"/>
  <c r="G38" i="20" s="1"/>
  <c r="H38" i="20"/>
  <c r="J38" i="20" s="1"/>
  <c r="B39" i="20"/>
  <c r="C39" i="20"/>
  <c r="E39" i="20"/>
  <c r="F39" i="20"/>
  <c r="H39" i="20"/>
  <c r="I39" i="20"/>
  <c r="N39" i="20"/>
  <c r="B41" i="20"/>
  <c r="D41" i="20" s="1"/>
  <c r="E41" i="20"/>
  <c r="G41" i="20" s="1"/>
  <c r="H41" i="20"/>
  <c r="J41" i="20" s="1"/>
  <c r="B42" i="20"/>
  <c r="D42" i="20" s="1"/>
  <c r="E42" i="20"/>
  <c r="G42" i="20"/>
  <c r="H42" i="20"/>
  <c r="J42" i="20" s="1"/>
  <c r="B43" i="20"/>
  <c r="D43" i="20" s="1"/>
  <c r="E43" i="20"/>
  <c r="G43" i="20" s="1"/>
  <c r="H43" i="20"/>
  <c r="J43" i="20" s="1"/>
  <c r="B44" i="20"/>
  <c r="D44" i="20" s="1"/>
  <c r="E44" i="20"/>
  <c r="G44" i="20" s="1"/>
  <c r="H44" i="20"/>
  <c r="J44" i="20" s="1"/>
  <c r="B45" i="20"/>
  <c r="D45" i="20" s="1"/>
  <c r="E45" i="20"/>
  <c r="G45" i="20" s="1"/>
  <c r="H45" i="20"/>
  <c r="J45" i="20" s="1"/>
  <c r="B46" i="20"/>
  <c r="D46" i="20" s="1"/>
  <c r="E46" i="20"/>
  <c r="G46" i="20" s="1"/>
  <c r="H46" i="20"/>
  <c r="J46" i="20" s="1"/>
  <c r="B47" i="20"/>
  <c r="D47" i="20" s="1"/>
  <c r="E47" i="20"/>
  <c r="G47" i="20" s="1"/>
  <c r="H47" i="20"/>
  <c r="J47" i="20" s="1"/>
  <c r="B48" i="20"/>
  <c r="D48" i="20" s="1"/>
  <c r="E48" i="20"/>
  <c r="G48" i="20" s="1"/>
  <c r="H48" i="20"/>
  <c r="J48" i="20" s="1"/>
  <c r="B49" i="20"/>
  <c r="D49" i="20" s="1"/>
  <c r="E49" i="20"/>
  <c r="G49" i="20" s="1"/>
  <c r="H49" i="20"/>
  <c r="J49" i="20" s="1"/>
  <c r="B50" i="20"/>
  <c r="D50" i="20" s="1"/>
  <c r="E50" i="20"/>
  <c r="G50" i="20" s="1"/>
  <c r="H50" i="20"/>
  <c r="J50" i="20" s="1"/>
  <c r="B51" i="20"/>
  <c r="D51" i="20"/>
  <c r="E51" i="20"/>
  <c r="G51" i="20" s="1"/>
  <c r="H51" i="20"/>
  <c r="J51" i="20" s="1"/>
  <c r="B52" i="20"/>
  <c r="D52" i="20"/>
  <c r="E52" i="20"/>
  <c r="G52" i="20" s="1"/>
  <c r="H52" i="20"/>
  <c r="J52" i="20" s="1"/>
  <c r="B53" i="20"/>
  <c r="C53" i="20"/>
  <c r="E53" i="20"/>
  <c r="F53" i="20"/>
  <c r="H53" i="20"/>
  <c r="I53" i="20"/>
  <c r="N53" i="20"/>
  <c r="B55" i="20"/>
  <c r="D55" i="20" s="1"/>
  <c r="E55" i="20"/>
  <c r="G55" i="20" s="1"/>
  <c r="H55" i="20"/>
  <c r="J55" i="20" s="1"/>
  <c r="B56" i="20"/>
  <c r="D56" i="20" s="1"/>
  <c r="E56" i="20"/>
  <c r="G56" i="20" s="1"/>
  <c r="H56" i="20"/>
  <c r="J56" i="20" s="1"/>
  <c r="B57" i="20"/>
  <c r="D57" i="20" s="1"/>
  <c r="E57" i="20"/>
  <c r="G57" i="20" s="1"/>
  <c r="H57" i="20"/>
  <c r="J57" i="20" s="1"/>
  <c r="B58" i="20"/>
  <c r="D58" i="20" s="1"/>
  <c r="E58" i="20"/>
  <c r="G58" i="20" s="1"/>
  <c r="H58" i="20"/>
  <c r="J58" i="20" s="1"/>
  <c r="B59" i="20"/>
  <c r="D59" i="20" s="1"/>
  <c r="E59" i="20"/>
  <c r="G59" i="20" s="1"/>
  <c r="H59" i="20"/>
  <c r="J59" i="20" s="1"/>
  <c r="B60" i="20"/>
  <c r="D60" i="20" s="1"/>
  <c r="E60" i="20"/>
  <c r="G60" i="20" s="1"/>
  <c r="H60" i="20"/>
  <c r="J60" i="20" s="1"/>
  <c r="B61" i="20"/>
  <c r="D61" i="20" s="1"/>
  <c r="E61" i="20"/>
  <c r="G61" i="20" s="1"/>
  <c r="H61" i="20"/>
  <c r="J61" i="20" s="1"/>
  <c r="B62" i="20"/>
  <c r="D62" i="20" s="1"/>
  <c r="E62" i="20"/>
  <c r="G62" i="20" s="1"/>
  <c r="H62" i="20"/>
  <c r="J62" i="20"/>
  <c r="B63" i="20"/>
  <c r="D63" i="20" s="1"/>
  <c r="E63" i="20"/>
  <c r="G63" i="20" s="1"/>
  <c r="H63" i="20"/>
  <c r="J63" i="20" s="1"/>
  <c r="B64" i="20"/>
  <c r="D64" i="20" s="1"/>
  <c r="E64" i="20"/>
  <c r="G64" i="20" s="1"/>
  <c r="H64" i="20"/>
  <c r="J64" i="20" s="1"/>
  <c r="B65" i="20"/>
  <c r="D65" i="20" s="1"/>
  <c r="E65" i="20"/>
  <c r="G65" i="20" s="1"/>
  <c r="H65" i="20"/>
  <c r="J65" i="20" s="1"/>
  <c r="B66" i="20"/>
  <c r="D66" i="20" s="1"/>
  <c r="E66" i="20"/>
  <c r="G66" i="20" s="1"/>
  <c r="H66" i="20"/>
  <c r="J66" i="20" s="1"/>
  <c r="B67" i="20"/>
  <c r="C67" i="20"/>
  <c r="E67" i="20"/>
  <c r="F67" i="20"/>
  <c r="G67" i="20" s="1"/>
  <c r="H67" i="20"/>
  <c r="I67" i="20"/>
  <c r="J67" i="20" s="1"/>
  <c r="N67" i="20"/>
  <c r="B69" i="20"/>
  <c r="D69" i="20" s="1"/>
  <c r="E69" i="20"/>
  <c r="G69" i="20" s="1"/>
  <c r="H69" i="20"/>
  <c r="J69" i="20" s="1"/>
  <c r="B70" i="20"/>
  <c r="D70" i="20" s="1"/>
  <c r="E70" i="20"/>
  <c r="G70" i="20" s="1"/>
  <c r="H70" i="20"/>
  <c r="J70" i="20" s="1"/>
  <c r="B71" i="20"/>
  <c r="D71" i="20" s="1"/>
  <c r="E71" i="20"/>
  <c r="G71" i="20" s="1"/>
  <c r="H71" i="20"/>
  <c r="J71" i="20" s="1"/>
  <c r="B72" i="20"/>
  <c r="D72" i="20" s="1"/>
  <c r="E72" i="20"/>
  <c r="G72" i="20" s="1"/>
  <c r="H72" i="20"/>
  <c r="J72" i="20" s="1"/>
  <c r="B73" i="20"/>
  <c r="D73" i="20" s="1"/>
  <c r="E73" i="20"/>
  <c r="G73" i="20" s="1"/>
  <c r="H73" i="20"/>
  <c r="J73" i="20" s="1"/>
  <c r="B74" i="20"/>
  <c r="D74" i="20" s="1"/>
  <c r="E74" i="20"/>
  <c r="G74" i="20" s="1"/>
  <c r="H74" i="20"/>
  <c r="J74" i="20" s="1"/>
  <c r="B75" i="20"/>
  <c r="D75" i="20" s="1"/>
  <c r="E75" i="20"/>
  <c r="G75" i="20" s="1"/>
  <c r="H75" i="20"/>
  <c r="J75" i="20" s="1"/>
  <c r="B76" i="20"/>
  <c r="D76" i="20" s="1"/>
  <c r="E76" i="20"/>
  <c r="G76" i="20" s="1"/>
  <c r="H76" i="20"/>
  <c r="J76" i="20" s="1"/>
  <c r="B77" i="20"/>
  <c r="D77" i="20"/>
  <c r="E77" i="20"/>
  <c r="G77" i="20" s="1"/>
  <c r="H77" i="20"/>
  <c r="J77" i="20" s="1"/>
  <c r="B78" i="20"/>
  <c r="D78" i="20" s="1"/>
  <c r="E78" i="20"/>
  <c r="G78" i="20" s="1"/>
  <c r="H78" i="20"/>
  <c r="J78" i="20" s="1"/>
  <c r="B79" i="20"/>
  <c r="D79" i="20" s="1"/>
  <c r="E79" i="20"/>
  <c r="G79" i="20" s="1"/>
  <c r="H79" i="20"/>
  <c r="J79" i="20" s="1"/>
  <c r="B80" i="20"/>
  <c r="D80" i="20" s="1"/>
  <c r="E80" i="20"/>
  <c r="G80" i="20" s="1"/>
  <c r="H80" i="20"/>
  <c r="J80" i="20" s="1"/>
  <c r="B81" i="20"/>
  <c r="C81" i="20"/>
  <c r="E81" i="20"/>
  <c r="F81" i="20"/>
  <c r="H81" i="20"/>
  <c r="I81" i="20"/>
  <c r="N81" i="20"/>
  <c r="B83" i="20"/>
  <c r="D83" i="20" s="1"/>
  <c r="E83" i="20"/>
  <c r="G83" i="20" s="1"/>
  <c r="H83" i="20"/>
  <c r="J83" i="20" s="1"/>
  <c r="B84" i="20"/>
  <c r="D84" i="20" s="1"/>
  <c r="E84" i="20"/>
  <c r="G84" i="20" s="1"/>
  <c r="H84" i="20"/>
  <c r="J84" i="20" s="1"/>
  <c r="B85" i="20"/>
  <c r="D85" i="20" s="1"/>
  <c r="E85" i="20"/>
  <c r="G85" i="20" s="1"/>
  <c r="H85" i="20"/>
  <c r="J85" i="20"/>
  <c r="B86" i="20"/>
  <c r="D86" i="20" s="1"/>
  <c r="E86" i="20"/>
  <c r="G86" i="20" s="1"/>
  <c r="H86" i="20"/>
  <c r="J86" i="20" s="1"/>
  <c r="B87" i="20"/>
  <c r="D87" i="20" s="1"/>
  <c r="E87" i="20"/>
  <c r="G87" i="20" s="1"/>
  <c r="H87" i="20"/>
  <c r="J87" i="20" s="1"/>
  <c r="B88" i="20"/>
  <c r="D88" i="20" s="1"/>
  <c r="E88" i="20"/>
  <c r="G88" i="20" s="1"/>
  <c r="H88" i="20"/>
  <c r="J88" i="20" s="1"/>
  <c r="B89" i="20"/>
  <c r="D89" i="20" s="1"/>
  <c r="E89" i="20"/>
  <c r="G89" i="20" s="1"/>
  <c r="H89" i="20"/>
  <c r="J89" i="20" s="1"/>
  <c r="B90" i="20"/>
  <c r="D90" i="20" s="1"/>
  <c r="E90" i="20"/>
  <c r="G90" i="20" s="1"/>
  <c r="H90" i="20"/>
  <c r="J90" i="20" s="1"/>
  <c r="B91" i="20"/>
  <c r="D91" i="20" s="1"/>
  <c r="E91" i="20"/>
  <c r="G91" i="20" s="1"/>
  <c r="H91" i="20"/>
  <c r="J91" i="20" s="1"/>
  <c r="B92" i="20"/>
  <c r="D92" i="20" s="1"/>
  <c r="E92" i="20"/>
  <c r="G92" i="20" s="1"/>
  <c r="H92" i="20"/>
  <c r="J92" i="20" s="1"/>
  <c r="B93" i="20"/>
  <c r="D93" i="20" s="1"/>
  <c r="E93" i="20"/>
  <c r="G93" i="20" s="1"/>
  <c r="H93" i="20"/>
  <c r="J93" i="20" s="1"/>
  <c r="B94" i="20"/>
  <c r="D94" i="20" s="1"/>
  <c r="E94" i="20"/>
  <c r="G94" i="20" s="1"/>
  <c r="H94" i="20"/>
  <c r="J94" i="20" s="1"/>
  <c r="B95" i="20"/>
  <c r="C95" i="20"/>
  <c r="E95" i="20"/>
  <c r="F95" i="20"/>
  <c r="H95" i="20"/>
  <c r="I95" i="20"/>
  <c r="J95" i="20" s="1"/>
  <c r="N95" i="20"/>
  <c r="B97" i="20"/>
  <c r="D97" i="20" s="1"/>
  <c r="E97" i="20"/>
  <c r="G97" i="20" s="1"/>
  <c r="H97" i="20"/>
  <c r="J97" i="20" s="1"/>
  <c r="B98" i="20"/>
  <c r="D98" i="20" s="1"/>
  <c r="E98" i="20"/>
  <c r="G98" i="20" s="1"/>
  <c r="H98" i="20"/>
  <c r="J98" i="20" s="1"/>
  <c r="B99" i="20"/>
  <c r="D99" i="20"/>
  <c r="K99" i="20" s="1"/>
  <c r="O99" i="20" s="1"/>
  <c r="E99" i="20"/>
  <c r="G99" i="20" s="1"/>
  <c r="H99" i="20"/>
  <c r="J99" i="20" s="1"/>
  <c r="B100" i="20"/>
  <c r="D100" i="20" s="1"/>
  <c r="E100" i="20"/>
  <c r="G100" i="20" s="1"/>
  <c r="H100" i="20"/>
  <c r="J100" i="20" s="1"/>
  <c r="B101" i="20"/>
  <c r="D101" i="20" s="1"/>
  <c r="E101" i="20"/>
  <c r="G101" i="20" s="1"/>
  <c r="H101" i="20"/>
  <c r="J101" i="20" s="1"/>
  <c r="B102" i="20"/>
  <c r="D102" i="20" s="1"/>
  <c r="E102" i="20"/>
  <c r="G102" i="20" s="1"/>
  <c r="H102" i="20"/>
  <c r="J102" i="20" s="1"/>
  <c r="B103" i="20"/>
  <c r="D103" i="20" s="1"/>
  <c r="E103" i="20"/>
  <c r="G103" i="20" s="1"/>
  <c r="H103" i="20"/>
  <c r="J103" i="20" s="1"/>
  <c r="B104" i="20"/>
  <c r="D104" i="20" s="1"/>
  <c r="E104" i="20"/>
  <c r="G104" i="20" s="1"/>
  <c r="H104" i="20"/>
  <c r="J104" i="20" s="1"/>
  <c r="B105" i="20"/>
  <c r="D105" i="20" s="1"/>
  <c r="E105" i="20"/>
  <c r="G105" i="20" s="1"/>
  <c r="H105" i="20"/>
  <c r="J105" i="20" s="1"/>
  <c r="B106" i="20"/>
  <c r="D106" i="20" s="1"/>
  <c r="E106" i="20"/>
  <c r="G106" i="20" s="1"/>
  <c r="H106" i="20"/>
  <c r="J106" i="20" s="1"/>
  <c r="B107" i="20"/>
  <c r="D107" i="20" s="1"/>
  <c r="E107" i="20"/>
  <c r="G107" i="20" s="1"/>
  <c r="H107" i="20"/>
  <c r="J107" i="20" s="1"/>
  <c r="B108" i="20"/>
  <c r="D108" i="20" s="1"/>
  <c r="E108" i="20"/>
  <c r="G108" i="20" s="1"/>
  <c r="H108" i="20"/>
  <c r="J108" i="20" s="1"/>
  <c r="B109" i="20"/>
  <c r="C109" i="20"/>
  <c r="E109" i="20"/>
  <c r="F109" i="20"/>
  <c r="H109" i="20"/>
  <c r="I109" i="20"/>
  <c r="N109" i="20"/>
  <c r="D111" i="20"/>
  <c r="G111" i="20"/>
  <c r="J111" i="20"/>
  <c r="D112" i="20"/>
  <c r="G112" i="20"/>
  <c r="J112" i="20"/>
  <c r="D113" i="20"/>
  <c r="G113" i="20"/>
  <c r="J113" i="20"/>
  <c r="D114" i="20"/>
  <c r="K114" i="20" s="1"/>
  <c r="O114" i="20" s="1"/>
  <c r="G114" i="20"/>
  <c r="J114" i="20"/>
  <c r="D115" i="20"/>
  <c r="G115" i="20"/>
  <c r="J115" i="20"/>
  <c r="D116" i="20"/>
  <c r="G116" i="20"/>
  <c r="J116" i="20"/>
  <c r="D117" i="20"/>
  <c r="G117" i="20"/>
  <c r="J117" i="20"/>
  <c r="D118" i="20"/>
  <c r="G118" i="20"/>
  <c r="J118" i="20"/>
  <c r="D119" i="20"/>
  <c r="G119" i="20"/>
  <c r="J119" i="20"/>
  <c r="D120" i="20"/>
  <c r="G120" i="20"/>
  <c r="J120" i="20"/>
  <c r="D121" i="20"/>
  <c r="G121" i="20"/>
  <c r="J121" i="20"/>
  <c r="D122" i="20"/>
  <c r="G122" i="20"/>
  <c r="J122" i="20"/>
  <c r="D123" i="20"/>
  <c r="G123" i="20"/>
  <c r="J123" i="20"/>
  <c r="B8" i="26"/>
  <c r="D8" i="26"/>
  <c r="E8" i="26"/>
  <c r="H8" i="26"/>
  <c r="J8" i="26"/>
  <c r="B9" i="26" s="1"/>
  <c r="E9" i="26" s="1"/>
  <c r="D9" i="26"/>
  <c r="H9" i="26"/>
  <c r="J9" i="26"/>
  <c r="B10" i="26" s="1"/>
  <c r="E10" i="26" s="1"/>
  <c r="D10" i="26"/>
  <c r="H10" i="26"/>
  <c r="J10" i="26"/>
  <c r="B11" i="26" s="1"/>
  <c r="D11" i="26"/>
  <c r="H11" i="26"/>
  <c r="J11" i="26"/>
  <c r="B12" i="26" s="1"/>
  <c r="D12" i="26"/>
  <c r="H12" i="26"/>
  <c r="J12" i="26"/>
  <c r="B13" i="26" s="1"/>
  <c r="D13" i="26"/>
  <c r="H13" i="26"/>
  <c r="J13" i="26"/>
  <c r="B14" i="26" s="1"/>
  <c r="D14" i="26"/>
  <c r="H14" i="26"/>
  <c r="J14" i="26"/>
  <c r="B15" i="26"/>
  <c r="E15" i="26" s="1"/>
  <c r="D15" i="26"/>
  <c r="H15" i="26"/>
  <c r="J15" i="26"/>
  <c r="B16" i="26" s="1"/>
  <c r="D16" i="26"/>
  <c r="H16" i="26"/>
  <c r="J16" i="26"/>
  <c r="B17" i="26"/>
  <c r="E17" i="26" s="1"/>
  <c r="D17" i="26"/>
  <c r="H17" i="26"/>
  <c r="J17" i="26"/>
  <c r="B18" i="26" s="1"/>
  <c r="D18" i="26"/>
  <c r="H18" i="26"/>
  <c r="J18" i="26"/>
  <c r="B19" i="26" s="1"/>
  <c r="D19" i="26"/>
  <c r="H19" i="26"/>
  <c r="J19" i="26"/>
  <c r="B22" i="26" s="1"/>
  <c r="C20" i="26"/>
  <c r="G20" i="26"/>
  <c r="D22" i="26"/>
  <c r="H22" i="26"/>
  <c r="J22" i="26"/>
  <c r="B23" i="26" s="1"/>
  <c r="D23" i="26"/>
  <c r="H23" i="26"/>
  <c r="J23" i="26"/>
  <c r="B24" i="26" s="1"/>
  <c r="D24" i="26"/>
  <c r="H24" i="26"/>
  <c r="J24" i="26"/>
  <c r="B25" i="26"/>
  <c r="E25" i="26" s="1"/>
  <c r="D25" i="26"/>
  <c r="H25" i="26"/>
  <c r="J25" i="26"/>
  <c r="B26" i="26" s="1"/>
  <c r="E26" i="26" s="1"/>
  <c r="D26" i="26"/>
  <c r="H26" i="26"/>
  <c r="J26" i="26"/>
  <c r="B27" i="26" s="1"/>
  <c r="D27" i="26"/>
  <c r="H27" i="26"/>
  <c r="J27" i="26"/>
  <c r="B28" i="26" s="1"/>
  <c r="D28" i="26"/>
  <c r="H28" i="26"/>
  <c r="J28" i="26"/>
  <c r="B29" i="26" s="1"/>
  <c r="D29" i="26"/>
  <c r="H29" i="26"/>
  <c r="J29" i="26"/>
  <c r="B30" i="26" s="1"/>
  <c r="D30" i="26"/>
  <c r="H30" i="26"/>
  <c r="J30" i="26"/>
  <c r="B31" i="26" s="1"/>
  <c r="D31" i="26"/>
  <c r="H31" i="26"/>
  <c r="J31" i="26"/>
  <c r="B32" i="26" s="1"/>
  <c r="D32" i="26"/>
  <c r="H32" i="26"/>
  <c r="J32" i="26"/>
  <c r="B33" i="26" s="1"/>
  <c r="D33" i="26"/>
  <c r="H33" i="26"/>
  <c r="J33" i="26"/>
  <c r="B36" i="26" s="1"/>
  <c r="C34" i="26"/>
  <c r="G34" i="26"/>
  <c r="D36" i="26"/>
  <c r="H36" i="26"/>
  <c r="J36" i="26"/>
  <c r="B37" i="26" s="1"/>
  <c r="D37" i="26"/>
  <c r="H37" i="26"/>
  <c r="J37" i="26"/>
  <c r="B38" i="26" s="1"/>
  <c r="D38" i="26"/>
  <c r="H38" i="26"/>
  <c r="J38" i="26"/>
  <c r="B39" i="26" s="1"/>
  <c r="D39" i="26"/>
  <c r="H39" i="26"/>
  <c r="J39" i="26"/>
  <c r="B40" i="26" s="1"/>
  <c r="D40" i="26"/>
  <c r="H40" i="26"/>
  <c r="J40" i="26"/>
  <c r="B41" i="26" s="1"/>
  <c r="D41" i="26"/>
  <c r="H41" i="26"/>
  <c r="J41" i="26"/>
  <c r="B42" i="26" s="1"/>
  <c r="E42" i="26" s="1"/>
  <c r="D42" i="26"/>
  <c r="H42" i="26"/>
  <c r="J42" i="26"/>
  <c r="B43" i="26" s="1"/>
  <c r="D43" i="26"/>
  <c r="H43" i="26"/>
  <c r="J43" i="26"/>
  <c r="B44" i="26" s="1"/>
  <c r="D44" i="26"/>
  <c r="H44" i="26"/>
  <c r="J44" i="26"/>
  <c r="B45" i="26" s="1"/>
  <c r="D45" i="26"/>
  <c r="H45" i="26"/>
  <c r="J45" i="26"/>
  <c r="B46" i="26" s="1"/>
  <c r="D46" i="26"/>
  <c r="H46" i="26"/>
  <c r="J46" i="26"/>
  <c r="B47" i="26" s="1"/>
  <c r="D47" i="26"/>
  <c r="H47" i="26"/>
  <c r="J47" i="26"/>
  <c r="B50" i="26" s="1"/>
  <c r="C48" i="26"/>
  <c r="G48" i="26"/>
  <c r="D50" i="26"/>
  <c r="H50" i="26"/>
  <c r="J50" i="26"/>
  <c r="B51" i="26" s="1"/>
  <c r="D51" i="26"/>
  <c r="H51" i="26"/>
  <c r="J51" i="26"/>
  <c r="B52" i="26" s="1"/>
  <c r="E52" i="26" s="1"/>
  <c r="D52" i="26"/>
  <c r="H52" i="26"/>
  <c r="J52" i="26"/>
  <c r="B53" i="26" s="1"/>
  <c r="D53" i="26"/>
  <c r="H53" i="26"/>
  <c r="J53" i="26"/>
  <c r="B54" i="26" s="1"/>
  <c r="D54" i="26"/>
  <c r="H54" i="26"/>
  <c r="J54" i="26"/>
  <c r="B55" i="26"/>
  <c r="D55" i="26"/>
  <c r="H55" i="26"/>
  <c r="J55" i="26"/>
  <c r="B56" i="26" s="1"/>
  <c r="D56" i="26"/>
  <c r="H56" i="26"/>
  <c r="J56" i="26"/>
  <c r="B57" i="26" s="1"/>
  <c r="D57" i="26"/>
  <c r="H57" i="26"/>
  <c r="J57" i="26"/>
  <c r="B58" i="26" s="1"/>
  <c r="E58" i="26" s="1"/>
  <c r="D58" i="26"/>
  <c r="H58" i="26"/>
  <c r="J58" i="26"/>
  <c r="B59" i="26"/>
  <c r="D59" i="26"/>
  <c r="H59" i="26"/>
  <c r="J59" i="26"/>
  <c r="B60" i="26" s="1"/>
  <c r="D60" i="26"/>
  <c r="H60" i="26"/>
  <c r="B61" i="26"/>
  <c r="D61" i="26"/>
  <c r="H61" i="26"/>
  <c r="C62" i="26"/>
  <c r="G62" i="26"/>
  <c r="E64" i="26"/>
  <c r="I64" i="26" s="1"/>
  <c r="F64" i="26" s="1"/>
  <c r="B65" i="26"/>
  <c r="E65" i="26" s="1"/>
  <c r="I65" i="26" s="1"/>
  <c r="F65" i="26" s="1"/>
  <c r="B66" i="26"/>
  <c r="E66" i="26" s="1"/>
  <c r="I66" i="26" s="1"/>
  <c r="F66" i="26" s="1"/>
  <c r="B67" i="26"/>
  <c r="E67" i="26" s="1"/>
  <c r="I67" i="26" s="1"/>
  <c r="F67" i="26" s="1"/>
  <c r="B68" i="26"/>
  <c r="B69" i="26"/>
  <c r="E69" i="26" s="1"/>
  <c r="I69" i="26" s="1"/>
  <c r="F69" i="26" s="1"/>
  <c r="B70" i="26"/>
  <c r="E70" i="26" s="1"/>
  <c r="I70" i="26" s="1"/>
  <c r="F70" i="26" s="1"/>
  <c r="B71" i="26"/>
  <c r="E71" i="26" s="1"/>
  <c r="I71" i="26" s="1"/>
  <c r="F71" i="26" s="1"/>
  <c r="B72" i="26"/>
  <c r="E72" i="26" s="1"/>
  <c r="I72" i="26" s="1"/>
  <c r="F72" i="26" s="1"/>
  <c r="B73" i="26"/>
  <c r="E73" i="26" s="1"/>
  <c r="I73" i="26" s="1"/>
  <c r="F73" i="26" s="1"/>
  <c r="B74" i="26"/>
  <c r="E74" i="26" s="1"/>
  <c r="I74" i="26" s="1"/>
  <c r="B75" i="26"/>
  <c r="E75" i="26" s="1"/>
  <c r="I75" i="26" s="1"/>
  <c r="F75" i="26" s="1"/>
  <c r="C76" i="26"/>
  <c r="G76" i="26"/>
  <c r="G42" i="21" s="1"/>
  <c r="H76" i="26"/>
  <c r="H42" i="21" s="1"/>
  <c r="E78" i="26"/>
  <c r="I78" i="26" s="1"/>
  <c r="F78" i="26" s="1"/>
  <c r="E79" i="26"/>
  <c r="I79" i="26" s="1"/>
  <c r="F79" i="26" s="1"/>
  <c r="E80" i="26"/>
  <c r="I80" i="26" s="1"/>
  <c r="F80" i="26" s="1"/>
  <c r="E81" i="26"/>
  <c r="I81" i="26" s="1"/>
  <c r="F81" i="26" s="1"/>
  <c r="E82" i="26"/>
  <c r="I82" i="26" s="1"/>
  <c r="F82" i="26" s="1"/>
  <c r="E83" i="26"/>
  <c r="I83" i="26" s="1"/>
  <c r="F83" i="26" s="1"/>
  <c r="E84" i="26"/>
  <c r="I84" i="26" s="1"/>
  <c r="F84" i="26" s="1"/>
  <c r="E85" i="26"/>
  <c r="I85" i="26" s="1"/>
  <c r="F85" i="26" s="1"/>
  <c r="E86" i="26"/>
  <c r="I86" i="26" s="1"/>
  <c r="F86" i="26" s="1"/>
  <c r="E87" i="26"/>
  <c r="I87" i="26" s="1"/>
  <c r="F87" i="26" s="1"/>
  <c r="E88" i="26"/>
  <c r="I88" i="26" s="1"/>
  <c r="F88" i="26" s="1"/>
  <c r="E89" i="26"/>
  <c r="I89" i="26" s="1"/>
  <c r="F89" i="26" s="1"/>
  <c r="C90" i="26"/>
  <c r="D90" i="26"/>
  <c r="D43" i="21" s="1"/>
  <c r="G90" i="26"/>
  <c r="G43" i="21" s="1"/>
  <c r="H90" i="26"/>
  <c r="H43" i="21" s="1"/>
  <c r="B8" i="27"/>
  <c r="C8" i="27"/>
  <c r="D8" i="27"/>
  <c r="G8" i="27"/>
  <c r="I8" i="27"/>
  <c r="B9" i="27" s="1"/>
  <c r="C9" i="27"/>
  <c r="D9" i="27"/>
  <c r="G9" i="27"/>
  <c r="I9" i="27"/>
  <c r="B10" i="27" s="1"/>
  <c r="C10" i="27"/>
  <c r="D10" i="27"/>
  <c r="G10" i="27"/>
  <c r="I10" i="27"/>
  <c r="B11" i="27" s="1"/>
  <c r="C11" i="27"/>
  <c r="D11" i="27"/>
  <c r="G11" i="27"/>
  <c r="I11" i="27"/>
  <c r="B12" i="27" s="1"/>
  <c r="C12" i="27"/>
  <c r="D12" i="27"/>
  <c r="G12" i="27"/>
  <c r="I12" i="27"/>
  <c r="B13" i="27" s="1"/>
  <c r="C13" i="27"/>
  <c r="D13" i="27"/>
  <c r="G13" i="27"/>
  <c r="I13" i="27"/>
  <c r="B14" i="27" s="1"/>
  <c r="C14" i="27"/>
  <c r="D14" i="27"/>
  <c r="G14" i="27"/>
  <c r="I14" i="27"/>
  <c r="B15" i="27" s="1"/>
  <c r="C15" i="27"/>
  <c r="D15" i="27"/>
  <c r="G15" i="27"/>
  <c r="I15" i="27"/>
  <c r="B16" i="27" s="1"/>
  <c r="C16" i="27"/>
  <c r="D16" i="27"/>
  <c r="G16" i="27"/>
  <c r="I16" i="27"/>
  <c r="B17" i="27" s="1"/>
  <c r="C17" i="27"/>
  <c r="D17" i="27"/>
  <c r="G17" i="27"/>
  <c r="I17" i="27"/>
  <c r="B18" i="27" s="1"/>
  <c r="C18" i="27"/>
  <c r="D18" i="27"/>
  <c r="G18" i="27"/>
  <c r="I18" i="27"/>
  <c r="B19" i="27" s="1"/>
  <c r="C19" i="27"/>
  <c r="D19" i="27"/>
  <c r="G19" i="27"/>
  <c r="I19" i="27"/>
  <c r="B22" i="27" s="1"/>
  <c r="C22" i="27"/>
  <c r="D22" i="27"/>
  <c r="G22" i="27"/>
  <c r="I22" i="27"/>
  <c r="B23" i="27" s="1"/>
  <c r="C23" i="27"/>
  <c r="D23" i="27"/>
  <c r="G23" i="27"/>
  <c r="I23" i="27"/>
  <c r="B24" i="27" s="1"/>
  <c r="C24" i="27"/>
  <c r="D24" i="27"/>
  <c r="G24" i="27"/>
  <c r="I24" i="27"/>
  <c r="B25" i="27" s="1"/>
  <c r="C25" i="27"/>
  <c r="D25" i="27"/>
  <c r="G25" i="27"/>
  <c r="I25" i="27"/>
  <c r="B26" i="27" s="1"/>
  <c r="C26" i="27"/>
  <c r="D26" i="27"/>
  <c r="G26" i="27"/>
  <c r="I26" i="27"/>
  <c r="B27" i="27" s="1"/>
  <c r="C27" i="27"/>
  <c r="D27" i="27"/>
  <c r="G27" i="27"/>
  <c r="I27" i="27"/>
  <c r="B28" i="27" s="1"/>
  <c r="C28" i="27"/>
  <c r="D28" i="27"/>
  <c r="G28" i="27"/>
  <c r="I28" i="27"/>
  <c r="B29" i="27" s="1"/>
  <c r="C29" i="27"/>
  <c r="D29" i="27"/>
  <c r="G29" i="27"/>
  <c r="I29" i="27"/>
  <c r="B30" i="27" s="1"/>
  <c r="C30" i="27"/>
  <c r="D30" i="27"/>
  <c r="G30" i="27"/>
  <c r="I30" i="27"/>
  <c r="B31" i="27" s="1"/>
  <c r="C31" i="27"/>
  <c r="D31" i="27"/>
  <c r="G31" i="27"/>
  <c r="I31" i="27"/>
  <c r="B32" i="27" s="1"/>
  <c r="C32" i="27"/>
  <c r="D32" i="27"/>
  <c r="G32" i="27"/>
  <c r="I32" i="27"/>
  <c r="B33" i="27" s="1"/>
  <c r="C33" i="27"/>
  <c r="D33" i="27"/>
  <c r="G33" i="27"/>
  <c r="I33" i="27"/>
  <c r="B36" i="27" s="1"/>
  <c r="C36" i="27"/>
  <c r="D36" i="27"/>
  <c r="G36" i="27"/>
  <c r="I36" i="27"/>
  <c r="B37" i="27" s="1"/>
  <c r="C37" i="27"/>
  <c r="D37" i="27"/>
  <c r="G37" i="27"/>
  <c r="I37" i="27"/>
  <c r="B38" i="27" s="1"/>
  <c r="C38" i="27"/>
  <c r="D38" i="27"/>
  <c r="G38" i="27"/>
  <c r="I38" i="27"/>
  <c r="B39" i="27" s="1"/>
  <c r="C39" i="27"/>
  <c r="D39" i="27"/>
  <c r="G39" i="27"/>
  <c r="I39" i="27"/>
  <c r="B40" i="27" s="1"/>
  <c r="C40" i="27"/>
  <c r="D40" i="27"/>
  <c r="G40" i="27"/>
  <c r="I40" i="27"/>
  <c r="B41" i="27" s="1"/>
  <c r="C41" i="27"/>
  <c r="D41" i="27"/>
  <c r="G41" i="27"/>
  <c r="I41" i="27"/>
  <c r="B42" i="27" s="1"/>
  <c r="C42" i="27"/>
  <c r="D42" i="27"/>
  <c r="G42" i="27"/>
  <c r="I42" i="27"/>
  <c r="B43" i="27" s="1"/>
  <c r="C43" i="27"/>
  <c r="D43" i="27"/>
  <c r="G43" i="27"/>
  <c r="I43" i="27"/>
  <c r="B44" i="27" s="1"/>
  <c r="C44" i="27"/>
  <c r="D44" i="27"/>
  <c r="G44" i="27"/>
  <c r="I44" i="27"/>
  <c r="B45" i="27" s="1"/>
  <c r="C45" i="27"/>
  <c r="D45" i="27"/>
  <c r="G45" i="27"/>
  <c r="I45" i="27"/>
  <c r="B46" i="27"/>
  <c r="C46" i="27"/>
  <c r="D46" i="27"/>
  <c r="G46" i="27"/>
  <c r="I46" i="27"/>
  <c r="B47" i="27" s="1"/>
  <c r="C47" i="27"/>
  <c r="D47" i="27"/>
  <c r="G47" i="27"/>
  <c r="I47" i="27"/>
  <c r="B50" i="27" s="1"/>
  <c r="C50" i="27"/>
  <c r="D50" i="27"/>
  <c r="G50" i="27"/>
  <c r="I50" i="27"/>
  <c r="B51" i="27" s="1"/>
  <c r="C51" i="27"/>
  <c r="D51" i="27"/>
  <c r="G51" i="27"/>
  <c r="I51" i="27"/>
  <c r="B52" i="27" s="1"/>
  <c r="C52" i="27"/>
  <c r="D52" i="27"/>
  <c r="G52" i="27"/>
  <c r="I52" i="27"/>
  <c r="B53" i="27" s="1"/>
  <c r="C53" i="27"/>
  <c r="D53" i="27"/>
  <c r="G53" i="27"/>
  <c r="I53" i="27"/>
  <c r="B54" i="27" s="1"/>
  <c r="C54" i="27"/>
  <c r="D54" i="27"/>
  <c r="G54" i="27"/>
  <c r="I54" i="27"/>
  <c r="B55" i="27" s="1"/>
  <c r="E55" i="27" s="1"/>
  <c r="C55" i="27"/>
  <c r="D55" i="27"/>
  <c r="G55" i="27"/>
  <c r="I55" i="27"/>
  <c r="B56" i="27" s="1"/>
  <c r="C56" i="27"/>
  <c r="D56" i="27"/>
  <c r="G56" i="27"/>
  <c r="I56" i="27"/>
  <c r="B57" i="27" s="1"/>
  <c r="C57" i="27"/>
  <c r="D57" i="27"/>
  <c r="G57" i="27"/>
  <c r="I57" i="27"/>
  <c r="B58" i="27" s="1"/>
  <c r="C58" i="27"/>
  <c r="D58" i="27"/>
  <c r="G58" i="27"/>
  <c r="I58" i="27"/>
  <c r="B59" i="27" s="1"/>
  <c r="C59" i="27"/>
  <c r="D59" i="27"/>
  <c r="G59" i="27"/>
  <c r="I59" i="27"/>
  <c r="B60" i="27" s="1"/>
  <c r="D60" i="27"/>
  <c r="G60" i="27"/>
  <c r="B61" i="27"/>
  <c r="D61" i="27"/>
  <c r="G61" i="27"/>
  <c r="B64" i="27"/>
  <c r="E64" i="27" s="1"/>
  <c r="H64" i="27" s="1"/>
  <c r="C64" i="27"/>
  <c r="B65" i="27"/>
  <c r="C65" i="27"/>
  <c r="B66" i="27"/>
  <c r="C66" i="27"/>
  <c r="B67" i="27"/>
  <c r="C67" i="27"/>
  <c r="B68" i="27"/>
  <c r="E68" i="27" s="1"/>
  <c r="H68" i="27" s="1"/>
  <c r="F68" i="27" s="1"/>
  <c r="C68" i="27"/>
  <c r="B69" i="27"/>
  <c r="C69" i="27"/>
  <c r="B70" i="27"/>
  <c r="C70" i="27"/>
  <c r="B71" i="27"/>
  <c r="C71" i="27"/>
  <c r="B72" i="27"/>
  <c r="C72" i="27"/>
  <c r="B73" i="27"/>
  <c r="C73" i="27"/>
  <c r="B74" i="27"/>
  <c r="C74" i="27"/>
  <c r="B75" i="27"/>
  <c r="C75" i="27"/>
  <c r="I43" i="22"/>
  <c r="B44" i="22" s="1"/>
  <c r="G76" i="27"/>
  <c r="G43" i="22" s="1"/>
  <c r="B78" i="27"/>
  <c r="E78" i="27" s="1"/>
  <c r="H78" i="27" s="1"/>
  <c r="F78" i="27" s="1"/>
  <c r="B79" i="27"/>
  <c r="E79" i="27" s="1"/>
  <c r="H79" i="27" s="1"/>
  <c r="F79" i="27" s="1"/>
  <c r="B80" i="27"/>
  <c r="E80" i="27" s="1"/>
  <c r="H80" i="27" s="1"/>
  <c r="F80" i="27" s="1"/>
  <c r="B81" i="27"/>
  <c r="E81" i="27" s="1"/>
  <c r="H81" i="27" s="1"/>
  <c r="F81" i="27" s="1"/>
  <c r="B82" i="27"/>
  <c r="E82" i="27" s="1"/>
  <c r="H82" i="27" s="1"/>
  <c r="F82" i="27" s="1"/>
  <c r="B83" i="27"/>
  <c r="E83" i="27"/>
  <c r="H83" i="27" s="1"/>
  <c r="F83" i="27" s="1"/>
  <c r="B84" i="27"/>
  <c r="E84" i="27"/>
  <c r="H84" i="27" s="1"/>
  <c r="F84" i="27" s="1"/>
  <c r="B85" i="27"/>
  <c r="E85" i="27" s="1"/>
  <c r="H85" i="27" s="1"/>
  <c r="F85" i="27" s="1"/>
  <c r="B86" i="27"/>
  <c r="E86" i="27" s="1"/>
  <c r="H86" i="27" s="1"/>
  <c r="F86" i="27" s="1"/>
  <c r="B87" i="27"/>
  <c r="E87" i="27" s="1"/>
  <c r="H87" i="27" s="1"/>
  <c r="F87" i="27" s="1"/>
  <c r="B88" i="27"/>
  <c r="E88" i="27" s="1"/>
  <c r="H88" i="27" s="1"/>
  <c r="F88" i="27" s="1"/>
  <c r="B89" i="27"/>
  <c r="E89" i="27" s="1"/>
  <c r="H89" i="27" s="1"/>
  <c r="F89" i="27" s="1"/>
  <c r="C90" i="27"/>
  <c r="C44" i="22" s="1"/>
  <c r="D90" i="27"/>
  <c r="G90" i="27"/>
  <c r="G44" i="22" s="1"/>
  <c r="E8" i="28"/>
  <c r="J9" i="28"/>
  <c r="B10" i="28" s="1"/>
  <c r="E10" i="28" s="1"/>
  <c r="C12" i="28"/>
  <c r="D12" i="28"/>
  <c r="F12" i="28"/>
  <c r="F28" i="23" s="1"/>
  <c r="G12" i="28"/>
  <c r="G28" i="23" s="1"/>
  <c r="C19" i="28"/>
  <c r="D19" i="28"/>
  <c r="F19" i="28"/>
  <c r="F29" i="23" s="1"/>
  <c r="G19" i="28"/>
  <c r="G29" i="23" s="1"/>
  <c r="C26" i="28"/>
  <c r="D26" i="28"/>
  <c r="F26" i="28"/>
  <c r="F30" i="23" s="1"/>
  <c r="G26" i="28"/>
  <c r="C33" i="28"/>
  <c r="D33" i="28"/>
  <c r="F33" i="28"/>
  <c r="F31" i="23" s="1"/>
  <c r="G33" i="28"/>
  <c r="G31" i="23" s="1"/>
  <c r="C40" i="28"/>
  <c r="D40" i="28"/>
  <c r="F40" i="28"/>
  <c r="G40" i="28"/>
  <c r="G32" i="23" s="1"/>
  <c r="C47" i="28"/>
  <c r="D47" i="28"/>
  <c r="F47" i="28"/>
  <c r="F33" i="23" s="1"/>
  <c r="G47" i="28"/>
  <c r="C54" i="28"/>
  <c r="D54" i="28"/>
  <c r="F54" i="28"/>
  <c r="G54" i="28"/>
  <c r="C57" i="28"/>
  <c r="C61" i="28" s="1"/>
  <c r="J59" i="28"/>
  <c r="B60" i="28" s="1"/>
  <c r="E60" i="28" s="1"/>
  <c r="D61" i="28"/>
  <c r="F61" i="28"/>
  <c r="G61" i="28"/>
  <c r="G35" i="23" s="1"/>
  <c r="C64" i="28"/>
  <c r="C68" i="28" s="1"/>
  <c r="D68" i="28"/>
  <c r="F68" i="28"/>
  <c r="F36" i="23" s="1"/>
  <c r="G68" i="28"/>
  <c r="G36" i="23" s="1"/>
  <c r="C71" i="28"/>
  <c r="J71" i="28"/>
  <c r="B72" i="28" s="1"/>
  <c r="E72" i="28" s="1"/>
  <c r="J73" i="28"/>
  <c r="B74" i="28" s="1"/>
  <c r="E74" i="28" s="1"/>
  <c r="D75" i="28"/>
  <c r="F75" i="28"/>
  <c r="F37" i="23" s="1"/>
  <c r="G75" i="28"/>
  <c r="G37" i="23" s="1"/>
  <c r="C78" i="28"/>
  <c r="C82" i="28" s="1"/>
  <c r="D82" i="28"/>
  <c r="F82" i="28"/>
  <c r="F38" i="23" s="1"/>
  <c r="G82" i="28"/>
  <c r="C85" i="28"/>
  <c r="C89" i="28" s="1"/>
  <c r="D89" i="28"/>
  <c r="G89" i="28"/>
  <c r="G39" i="23" s="1"/>
  <c r="C92" i="28"/>
  <c r="C96" i="28" s="1"/>
  <c r="J95" i="28"/>
  <c r="D96" i="28"/>
  <c r="G96" i="28"/>
  <c r="G40" i="23" s="1"/>
  <c r="C99" i="28"/>
  <c r="C103" i="28" s="1"/>
  <c r="D103" i="28"/>
  <c r="G103" i="28"/>
  <c r="G41" i="23" s="1"/>
  <c r="C106" i="28"/>
  <c r="C110" i="28" s="1"/>
  <c r="D110" i="28"/>
  <c r="G110" i="28"/>
  <c r="G42" i="23" s="1"/>
  <c r="F113" i="28"/>
  <c r="D116" i="28"/>
  <c r="F114" i="28"/>
  <c r="F115" i="28"/>
  <c r="C116" i="28"/>
  <c r="C129" i="28" s="1"/>
  <c r="F117" i="28"/>
  <c r="F118" i="28"/>
  <c r="G120" i="28"/>
  <c r="F119" i="28"/>
  <c r="D124" i="28"/>
  <c r="F121" i="28"/>
  <c r="F122" i="28"/>
  <c r="F123" i="28"/>
  <c r="G124" i="28"/>
  <c r="D128" i="28"/>
  <c r="F125" i="28"/>
  <c r="F126" i="28"/>
  <c r="F128" i="28" s="1"/>
  <c r="F127" i="28"/>
  <c r="G128" i="28"/>
  <c r="C135" i="28"/>
  <c r="D135" i="28"/>
  <c r="F135" i="28"/>
  <c r="G135" i="28"/>
  <c r="D139" i="28"/>
  <c r="E139" i="28" s="1"/>
  <c r="F139" i="28"/>
  <c r="G139" i="28"/>
  <c r="D143" i="28"/>
  <c r="F143" i="28"/>
  <c r="G143" i="28"/>
  <c r="D147" i="28"/>
  <c r="F147" i="28"/>
  <c r="G147" i="28"/>
  <c r="J147" i="28"/>
  <c r="B154" i="28" s="1"/>
  <c r="C148" i="28"/>
  <c r="C154" i="28"/>
  <c r="C167" i="28" s="1"/>
  <c r="D154" i="28"/>
  <c r="D167" i="28" s="1"/>
  <c r="F154" i="28"/>
  <c r="F167" i="28" s="1"/>
  <c r="G154" i="28"/>
  <c r="G167" i="28" s="1"/>
  <c r="G45" i="23" s="1"/>
  <c r="E7" i="21"/>
  <c r="I7" i="21" s="1"/>
  <c r="F7" i="21" s="1"/>
  <c r="B8" i="21"/>
  <c r="E8" i="21" s="1"/>
  <c r="I8" i="21" s="1"/>
  <c r="F8" i="21" s="1"/>
  <c r="B9" i="21"/>
  <c r="E9" i="21" s="1"/>
  <c r="I9" i="21" s="1"/>
  <c r="F9" i="21" s="1"/>
  <c r="B10" i="21"/>
  <c r="E10" i="21" s="1"/>
  <c r="I10" i="21" s="1"/>
  <c r="F10" i="21" s="1"/>
  <c r="B11" i="21"/>
  <c r="E11" i="21" s="1"/>
  <c r="I11" i="21" s="1"/>
  <c r="F11" i="21" s="1"/>
  <c r="B12" i="21"/>
  <c r="E12" i="21" s="1"/>
  <c r="I12" i="21" s="1"/>
  <c r="F12" i="21" s="1"/>
  <c r="B13" i="21"/>
  <c r="E13" i="21" s="1"/>
  <c r="I13" i="21"/>
  <c r="F13" i="21" s="1"/>
  <c r="B14" i="21"/>
  <c r="E14" i="21" s="1"/>
  <c r="I14" i="21" s="1"/>
  <c r="F14" i="21" s="1"/>
  <c r="B15" i="21"/>
  <c r="E15" i="21"/>
  <c r="I15" i="21" s="1"/>
  <c r="F15" i="21" s="1"/>
  <c r="B16" i="21"/>
  <c r="E16" i="21" s="1"/>
  <c r="I16" i="21" s="1"/>
  <c r="F16" i="21" s="1"/>
  <c r="B17" i="21"/>
  <c r="E17" i="21" s="1"/>
  <c r="I17" i="21" s="1"/>
  <c r="F17" i="21" s="1"/>
  <c r="B18" i="21"/>
  <c r="E18" i="21" s="1"/>
  <c r="I18" i="21" s="1"/>
  <c r="F18" i="21" s="1"/>
  <c r="B19" i="21"/>
  <c r="E19" i="21" s="1"/>
  <c r="I19" i="21" s="1"/>
  <c r="F19" i="21" s="1"/>
  <c r="B20" i="21"/>
  <c r="E20" i="21" s="1"/>
  <c r="I20" i="21" s="1"/>
  <c r="F20" i="21" s="1"/>
  <c r="B21" i="21"/>
  <c r="E21" i="21" s="1"/>
  <c r="I21" i="21" s="1"/>
  <c r="F21" i="21" s="1"/>
  <c r="B22" i="21"/>
  <c r="E22" i="21" s="1"/>
  <c r="I22" i="21" s="1"/>
  <c r="F22" i="21" s="1"/>
  <c r="B23" i="21"/>
  <c r="E23" i="21" s="1"/>
  <c r="I23" i="21" s="1"/>
  <c r="F23" i="21" s="1"/>
  <c r="B24" i="21"/>
  <c r="E24" i="21" s="1"/>
  <c r="I24" i="21" s="1"/>
  <c r="F24" i="21" s="1"/>
  <c r="B25" i="21"/>
  <c r="E25" i="21"/>
  <c r="I25" i="21" s="1"/>
  <c r="F25" i="21" s="1"/>
  <c r="B26" i="21"/>
  <c r="E26" i="21" s="1"/>
  <c r="I26" i="21" s="1"/>
  <c r="F26" i="21" s="1"/>
  <c r="B27" i="21"/>
  <c r="E27" i="21" s="1"/>
  <c r="I27" i="21" s="1"/>
  <c r="F27" i="21" s="1"/>
  <c r="B28" i="21"/>
  <c r="E28" i="21" s="1"/>
  <c r="I28" i="21" s="1"/>
  <c r="F28" i="21" s="1"/>
  <c r="B29" i="21"/>
  <c r="E29" i="21" s="1"/>
  <c r="I29" i="21" s="1"/>
  <c r="F29" i="21" s="1"/>
  <c r="B30" i="21"/>
  <c r="E30" i="21" s="1"/>
  <c r="I30" i="21" s="1"/>
  <c r="F30" i="21" s="1"/>
  <c r="B31" i="21"/>
  <c r="E31" i="21" s="1"/>
  <c r="I31" i="21" s="1"/>
  <c r="F31" i="21" s="1"/>
  <c r="B32" i="21"/>
  <c r="E32" i="21" s="1"/>
  <c r="I32" i="21" s="1"/>
  <c r="F32" i="21" s="1"/>
  <c r="B33" i="21"/>
  <c r="E33" i="21" s="1"/>
  <c r="I33" i="21" s="1"/>
  <c r="F33" i="21" s="1"/>
  <c r="B34" i="21"/>
  <c r="J34" i="21"/>
  <c r="B35" i="21" s="1"/>
  <c r="C35" i="21"/>
  <c r="C36" i="21"/>
  <c r="J36" i="21"/>
  <c r="B37" i="21" s="1"/>
  <c r="C37" i="21"/>
  <c r="B38" i="21"/>
  <c r="E38" i="21" s="1"/>
  <c r="I38" i="21" s="1"/>
  <c r="F38" i="21" s="1"/>
  <c r="B39" i="21"/>
  <c r="E39" i="21" s="1"/>
  <c r="I39" i="21" s="1"/>
  <c r="F39" i="21" s="1"/>
  <c r="B40" i="21"/>
  <c r="E40" i="21" s="1"/>
  <c r="I40" i="21" s="1"/>
  <c r="F40" i="21" s="1"/>
  <c r="B41" i="21"/>
  <c r="E41" i="21"/>
  <c r="I41" i="21" s="1"/>
  <c r="F41" i="21" s="1"/>
  <c r="B42" i="21"/>
  <c r="J42" i="21"/>
  <c r="B43" i="21" s="1"/>
  <c r="B44" i="21"/>
  <c r="E44" i="21" s="1"/>
  <c r="F44" i="21"/>
  <c r="E8" i="22"/>
  <c r="H8" i="22" s="1"/>
  <c r="F8" i="22" s="1"/>
  <c r="B9" i="22"/>
  <c r="E9" i="22" s="1"/>
  <c r="H9" i="22" s="1"/>
  <c r="F9" i="22" s="1"/>
  <c r="B10" i="22"/>
  <c r="E10" i="22" s="1"/>
  <c r="H10" i="22" s="1"/>
  <c r="F10" i="22" s="1"/>
  <c r="B11" i="22"/>
  <c r="E11" i="22"/>
  <c r="H11" i="22" s="1"/>
  <c r="F11" i="22" s="1"/>
  <c r="B12" i="22"/>
  <c r="E12" i="22" s="1"/>
  <c r="H12" i="22" s="1"/>
  <c r="F12" i="22" s="1"/>
  <c r="B13" i="22"/>
  <c r="E13" i="22" s="1"/>
  <c r="H13" i="22" s="1"/>
  <c r="F13" i="22" s="1"/>
  <c r="B14" i="22"/>
  <c r="E14" i="22" s="1"/>
  <c r="H14" i="22" s="1"/>
  <c r="F14" i="22" s="1"/>
  <c r="B15" i="22"/>
  <c r="E15" i="22" s="1"/>
  <c r="H15" i="22" s="1"/>
  <c r="F15" i="22" s="1"/>
  <c r="B16" i="22"/>
  <c r="E16" i="22" s="1"/>
  <c r="H16" i="22" s="1"/>
  <c r="F16" i="22" s="1"/>
  <c r="B17" i="22"/>
  <c r="E17" i="22"/>
  <c r="H17" i="22"/>
  <c r="F17" i="22" s="1"/>
  <c r="B18" i="22"/>
  <c r="E18" i="22" s="1"/>
  <c r="H18" i="22" s="1"/>
  <c r="F18" i="22" s="1"/>
  <c r="B19" i="22"/>
  <c r="E19" i="22" s="1"/>
  <c r="H19" i="22" s="1"/>
  <c r="F19" i="22" s="1"/>
  <c r="B20" i="22"/>
  <c r="E20" i="22" s="1"/>
  <c r="H20" i="22" s="1"/>
  <c r="F20" i="22" s="1"/>
  <c r="B21" i="22"/>
  <c r="E21" i="22" s="1"/>
  <c r="H21" i="22" s="1"/>
  <c r="F21" i="22" s="1"/>
  <c r="B22" i="22"/>
  <c r="E22" i="22" s="1"/>
  <c r="H22" i="22" s="1"/>
  <c r="F22" i="22" s="1"/>
  <c r="B23" i="22"/>
  <c r="E23" i="22"/>
  <c r="H23" i="22" s="1"/>
  <c r="F23" i="22" s="1"/>
  <c r="B24" i="22"/>
  <c r="E24" i="22" s="1"/>
  <c r="H24" i="22" s="1"/>
  <c r="F24" i="22" s="1"/>
  <c r="B25" i="22"/>
  <c r="E25" i="22" s="1"/>
  <c r="H25" i="22" s="1"/>
  <c r="F25" i="22" s="1"/>
  <c r="B26" i="22"/>
  <c r="E26" i="22" s="1"/>
  <c r="H26" i="22" s="1"/>
  <c r="F26" i="22" s="1"/>
  <c r="B27" i="22"/>
  <c r="E27" i="22" s="1"/>
  <c r="H27" i="22" s="1"/>
  <c r="F27" i="22" s="1"/>
  <c r="B28" i="22"/>
  <c r="E28" i="22" s="1"/>
  <c r="H28" i="22" s="1"/>
  <c r="F28" i="22" s="1"/>
  <c r="B29" i="22"/>
  <c r="E29" i="22"/>
  <c r="H29" i="22" s="1"/>
  <c r="F29" i="22" s="1"/>
  <c r="B30" i="22"/>
  <c r="E30" i="22" s="1"/>
  <c r="H30" i="22" s="1"/>
  <c r="F30" i="22" s="1"/>
  <c r="B31" i="22"/>
  <c r="E31" i="22" s="1"/>
  <c r="H31" i="22" s="1"/>
  <c r="F31" i="22" s="1"/>
  <c r="B32" i="22"/>
  <c r="E32" i="22" s="1"/>
  <c r="H32" i="22" s="1"/>
  <c r="F32" i="22" s="1"/>
  <c r="B33" i="22"/>
  <c r="E33" i="22" s="1"/>
  <c r="H33" i="22" s="1"/>
  <c r="F33" i="22" s="1"/>
  <c r="B34" i="22"/>
  <c r="E34" i="22" s="1"/>
  <c r="H34" i="22" s="1"/>
  <c r="F34" i="22" s="1"/>
  <c r="B35" i="22"/>
  <c r="I35" i="22"/>
  <c r="B36" i="22" s="1"/>
  <c r="E36" i="22" s="1"/>
  <c r="I38" i="22"/>
  <c r="B39" i="22" s="1"/>
  <c r="E39" i="22" s="1"/>
  <c r="H39" i="22" s="1"/>
  <c r="F39" i="22" s="1"/>
  <c r="B40" i="22"/>
  <c r="E40" i="22" s="1"/>
  <c r="H40" i="22" s="1"/>
  <c r="F40" i="22" s="1"/>
  <c r="B41" i="22"/>
  <c r="E41" i="22" s="1"/>
  <c r="H41" i="22" s="1"/>
  <c r="F41" i="22" s="1"/>
  <c r="B42" i="22"/>
  <c r="E42" i="22" s="1"/>
  <c r="H42" i="22" s="1"/>
  <c r="F42" i="22" s="1"/>
  <c r="B43" i="22"/>
  <c r="B45" i="22"/>
  <c r="E45" i="22" s="1"/>
  <c r="H45" i="22" s="1"/>
  <c r="F45" i="22" s="1"/>
  <c r="C8" i="23"/>
  <c r="E8" i="23" s="1"/>
  <c r="I8" i="23" s="1"/>
  <c r="H8" i="23" s="1"/>
  <c r="B9" i="23"/>
  <c r="C9" i="23"/>
  <c r="B10" i="23"/>
  <c r="C10" i="23"/>
  <c r="E10" i="23" s="1"/>
  <c r="I10" i="23" s="1"/>
  <c r="H10" i="23" s="1"/>
  <c r="B11" i="23"/>
  <c r="C11" i="23"/>
  <c r="B12" i="23"/>
  <c r="C12" i="23"/>
  <c r="B13" i="23"/>
  <c r="C13" i="23"/>
  <c r="E13" i="23" s="1"/>
  <c r="I13" i="23" s="1"/>
  <c r="H13" i="23" s="1"/>
  <c r="B14" i="23"/>
  <c r="C14" i="23"/>
  <c r="B15" i="23"/>
  <c r="C15" i="23"/>
  <c r="B16" i="23"/>
  <c r="C16" i="23"/>
  <c r="B17" i="23"/>
  <c r="C17" i="23"/>
  <c r="B18" i="23"/>
  <c r="C18" i="23"/>
  <c r="E18" i="23" s="1"/>
  <c r="I18" i="23" s="1"/>
  <c r="H18" i="23" s="1"/>
  <c r="B19" i="23"/>
  <c r="C19" i="23"/>
  <c r="B20" i="23"/>
  <c r="C20" i="23"/>
  <c r="B21" i="23"/>
  <c r="C21" i="23"/>
  <c r="B22" i="23"/>
  <c r="C22" i="23"/>
  <c r="E22" i="23" s="1"/>
  <c r="I22" i="23" s="1"/>
  <c r="H22" i="23" s="1"/>
  <c r="B23" i="23"/>
  <c r="C23" i="23"/>
  <c r="B24" i="23"/>
  <c r="C24" i="23"/>
  <c r="B25" i="23"/>
  <c r="C25" i="23"/>
  <c r="B26" i="23"/>
  <c r="C26" i="23"/>
  <c r="E26" i="23" s="1"/>
  <c r="I26" i="23" s="1"/>
  <c r="H26" i="23" s="1"/>
  <c r="B27" i="23"/>
  <c r="C27" i="23"/>
  <c r="C28" i="23"/>
  <c r="J28" i="23"/>
  <c r="B29" i="23" s="1"/>
  <c r="C29" i="23"/>
  <c r="C30" i="23"/>
  <c r="G30" i="23"/>
  <c r="C31" i="23"/>
  <c r="C32" i="23"/>
  <c r="F32" i="23"/>
  <c r="J32" i="23"/>
  <c r="B33" i="23" s="1"/>
  <c r="C33" i="23"/>
  <c r="G33" i="23"/>
  <c r="C34" i="23"/>
  <c r="F34" i="23"/>
  <c r="G34" i="23"/>
  <c r="C35" i="23"/>
  <c r="F35" i="23"/>
  <c r="C36" i="23"/>
  <c r="J36" i="23"/>
  <c r="B37" i="23" s="1"/>
  <c r="C37" i="23"/>
  <c r="C38" i="23"/>
  <c r="G38" i="23"/>
  <c r="C39" i="23"/>
  <c r="F39" i="23"/>
  <c r="C40" i="23"/>
  <c r="F40" i="23"/>
  <c r="J40" i="23"/>
  <c r="B41" i="23" s="1"/>
  <c r="C41" i="23"/>
  <c r="F41" i="23"/>
  <c r="C42" i="23"/>
  <c r="F42" i="23"/>
  <c r="C43" i="23"/>
  <c r="C44" i="23"/>
  <c r="B45" i="23"/>
  <c r="C45" i="2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5" i="1"/>
  <c r="D6" i="1"/>
  <c r="D7" i="1"/>
  <c r="D8" i="1"/>
  <c r="J27" i="23" s="1"/>
  <c r="D10" i="1"/>
  <c r="J8" i="28" s="1"/>
  <c r="B9" i="28" s="1"/>
  <c r="E9" i="28" s="1"/>
  <c r="D11" i="1"/>
  <c r="D12" i="1"/>
  <c r="J10" i="28" s="1"/>
  <c r="B11" i="28" s="1"/>
  <c r="E11" i="28" s="1"/>
  <c r="D13" i="1"/>
  <c r="J11" i="28" s="1"/>
  <c r="B15" i="28" s="1"/>
  <c r="E15" i="28" s="1"/>
  <c r="D15" i="1"/>
  <c r="J15" i="28" s="1"/>
  <c r="B16" i="28" s="1"/>
  <c r="E16" i="28" s="1"/>
  <c r="D16" i="1"/>
  <c r="J16" i="28" s="1"/>
  <c r="B17" i="28" s="1"/>
  <c r="E17" i="28" s="1"/>
  <c r="D17" i="1"/>
  <c r="J17" i="28" s="1"/>
  <c r="B18" i="28" s="1"/>
  <c r="E18" i="28" s="1"/>
  <c r="D18" i="1"/>
  <c r="J18" i="28" s="1"/>
  <c r="B22" i="28" s="1"/>
  <c r="E22" i="28" s="1"/>
  <c r="D20" i="1"/>
  <c r="J22" i="28" s="1"/>
  <c r="B23" i="28" s="1"/>
  <c r="E23" i="28" s="1"/>
  <c r="D21" i="1"/>
  <c r="J23" i="28" s="1"/>
  <c r="B24" i="28" s="1"/>
  <c r="E24" i="28" s="1"/>
  <c r="D22" i="1"/>
  <c r="J24" i="28" s="1"/>
  <c r="B25" i="28" s="1"/>
  <c r="E25" i="28" s="1"/>
  <c r="D23" i="1"/>
  <c r="J30" i="23" s="1"/>
  <c r="B31" i="23" s="1"/>
  <c r="D25" i="1"/>
  <c r="J29" i="28" s="1"/>
  <c r="B30" i="28" s="1"/>
  <c r="E30" i="28" s="1"/>
  <c r="D26" i="1"/>
  <c r="J30" i="28" s="1"/>
  <c r="B31" i="28" s="1"/>
  <c r="E31" i="28" s="1"/>
  <c r="D27" i="1"/>
  <c r="J31" i="28" s="1"/>
  <c r="B32" i="28" s="1"/>
  <c r="E32" i="28" s="1"/>
  <c r="D28" i="1"/>
  <c r="J32" i="28" s="1"/>
  <c r="B36" i="28" s="1"/>
  <c r="D30" i="1"/>
  <c r="J36" i="28" s="1"/>
  <c r="B37" i="28" s="1"/>
  <c r="E37" i="28" s="1"/>
  <c r="D31" i="1"/>
  <c r="J37" i="28" s="1"/>
  <c r="B38" i="28" s="1"/>
  <c r="E38" i="28" s="1"/>
  <c r="D32" i="1"/>
  <c r="J38" i="28" s="1"/>
  <c r="B39" i="28" s="1"/>
  <c r="E39" i="28" s="1"/>
  <c r="D33" i="1"/>
  <c r="J39" i="28" s="1"/>
  <c r="B43" i="28" s="1"/>
  <c r="D35" i="1"/>
  <c r="J43" i="28" s="1"/>
  <c r="B44" i="28" s="1"/>
  <c r="E44" i="28" s="1"/>
  <c r="D36" i="1"/>
  <c r="J44" i="28" s="1"/>
  <c r="B45" i="28" s="1"/>
  <c r="E45" i="28" s="1"/>
  <c r="D37" i="1"/>
  <c r="J45" i="28" s="1"/>
  <c r="B46" i="28" s="1"/>
  <c r="E46" i="28" s="1"/>
  <c r="D38" i="1"/>
  <c r="J46" i="28" s="1"/>
  <c r="B50" i="28" s="1"/>
  <c r="E50" i="28" s="1"/>
  <c r="D40" i="1"/>
  <c r="J50" i="28" s="1"/>
  <c r="B51" i="28" s="1"/>
  <c r="E51" i="28" s="1"/>
  <c r="D41" i="1"/>
  <c r="J51" i="28" s="1"/>
  <c r="B52" i="28" s="1"/>
  <c r="E52" i="28" s="1"/>
  <c r="D42" i="1"/>
  <c r="J52" i="28" s="1"/>
  <c r="B53" i="28" s="1"/>
  <c r="E53" i="28" s="1"/>
  <c r="D43" i="1"/>
  <c r="J53" i="28" s="1"/>
  <c r="B57" i="28" s="1"/>
  <c r="D45" i="1"/>
  <c r="J57" i="28" s="1"/>
  <c r="B58" i="28" s="1"/>
  <c r="E58" i="28" s="1"/>
  <c r="D46" i="1"/>
  <c r="J58" i="28" s="1"/>
  <c r="B59" i="28" s="1"/>
  <c r="E59" i="28" s="1"/>
  <c r="D47" i="1"/>
  <c r="D48" i="1"/>
  <c r="J60" i="28" s="1"/>
  <c r="B64" i="28" s="1"/>
  <c r="D50" i="1"/>
  <c r="J64" i="28" s="1"/>
  <c r="B65" i="28" s="1"/>
  <c r="E65" i="28" s="1"/>
  <c r="D51" i="1"/>
  <c r="J65" i="28" s="1"/>
  <c r="B66" i="28" s="1"/>
  <c r="E66" i="28" s="1"/>
  <c r="D52" i="1"/>
  <c r="J66" i="28" s="1"/>
  <c r="B67" i="28" s="1"/>
  <c r="E67" i="28" s="1"/>
  <c r="D53" i="1"/>
  <c r="J67" i="28" s="1"/>
  <c r="B71" i="28" s="1"/>
  <c r="D55" i="1"/>
  <c r="D56" i="1"/>
  <c r="J72" i="28" s="1"/>
  <c r="B73" i="28" s="1"/>
  <c r="E73" i="28" s="1"/>
  <c r="D57" i="1"/>
  <c r="D58" i="1"/>
  <c r="J37" i="23" s="1"/>
  <c r="B38" i="23" s="1"/>
  <c r="D60" i="1"/>
  <c r="J78" i="28" s="1"/>
  <c r="B79" i="28" s="1"/>
  <c r="E79" i="28" s="1"/>
  <c r="D61" i="1"/>
  <c r="J79" i="28" s="1"/>
  <c r="B80" i="28" s="1"/>
  <c r="E80" i="28" s="1"/>
  <c r="D62" i="1"/>
  <c r="J80" i="28" s="1"/>
  <c r="B81" i="28" s="1"/>
  <c r="E81" i="28" s="1"/>
  <c r="D63" i="1"/>
  <c r="J81" i="28" s="1"/>
  <c r="B85" i="28" s="1"/>
  <c r="D65" i="1"/>
  <c r="J85" i="28" s="1"/>
  <c r="B86" i="28" s="1"/>
  <c r="E86" i="28" s="1"/>
  <c r="D66" i="1"/>
  <c r="J86" i="28" s="1"/>
  <c r="B87" i="28" s="1"/>
  <c r="E87" i="28" s="1"/>
  <c r="D67" i="1"/>
  <c r="J87" i="28" s="1"/>
  <c r="B88" i="28" s="1"/>
  <c r="E88" i="28" s="1"/>
  <c r="D68" i="1"/>
  <c r="J88" i="28" s="1"/>
  <c r="B92" i="28" s="1"/>
  <c r="D70" i="1"/>
  <c r="J92" i="28" s="1"/>
  <c r="B93" i="28" s="1"/>
  <c r="E93" i="28" s="1"/>
  <c r="D71" i="1"/>
  <c r="J93" i="28" s="1"/>
  <c r="B94" i="28" s="1"/>
  <c r="E94" i="28" s="1"/>
  <c r="D72" i="1"/>
  <c r="J94" i="28" s="1"/>
  <c r="B95" i="28" s="1"/>
  <c r="E95" i="28" s="1"/>
  <c r="D73" i="1"/>
  <c r="D75" i="1"/>
  <c r="J99" i="28" s="1"/>
  <c r="B100" i="28" s="1"/>
  <c r="E100" i="28" s="1"/>
  <c r="D76" i="1"/>
  <c r="J100" i="28" s="1"/>
  <c r="B101" i="28" s="1"/>
  <c r="E101" i="28" s="1"/>
  <c r="D77" i="1"/>
  <c r="J101" i="28" s="1"/>
  <c r="B102" i="28" s="1"/>
  <c r="E102" i="28" s="1"/>
  <c r="D78" i="1"/>
  <c r="J102" i="28" s="1"/>
  <c r="B106" i="28" s="1"/>
  <c r="D80" i="1"/>
  <c r="J106" i="28" s="1"/>
  <c r="B107" i="28" s="1"/>
  <c r="E107" i="28" s="1"/>
  <c r="D81" i="1"/>
  <c r="J107" i="28" s="1"/>
  <c r="B108" i="28" s="1"/>
  <c r="E108" i="28" s="1"/>
  <c r="D82" i="1"/>
  <c r="J108" i="28" s="1"/>
  <c r="B109" i="28" s="1"/>
  <c r="E109" i="28" s="1"/>
  <c r="D83" i="1"/>
  <c r="J109" i="28" s="1"/>
  <c r="B116" i="28" s="1"/>
  <c r="D85" i="1"/>
  <c r="J116" i="28" s="1"/>
  <c r="B120" i="28" s="1"/>
  <c r="D86" i="1"/>
  <c r="J120" i="28" s="1"/>
  <c r="B124" i="28" s="1"/>
  <c r="D87" i="1"/>
  <c r="J124" i="28" s="1"/>
  <c r="B128" i="28" s="1"/>
  <c r="D88" i="1"/>
  <c r="J128" i="28" s="1"/>
  <c r="B135" i="28" s="1"/>
  <c r="D90" i="1"/>
  <c r="J135" i="28" s="1"/>
  <c r="B139" i="28" s="1"/>
  <c r="D91" i="1"/>
  <c r="J139" i="28" s="1"/>
  <c r="B143" i="28" s="1"/>
  <c r="D92" i="1"/>
  <c r="J143" i="28" s="1"/>
  <c r="B147" i="28" s="1"/>
  <c r="D93" i="1"/>
  <c r="J154" i="28"/>
  <c r="B158" i="28" s="1"/>
  <c r="E158" i="28" s="1"/>
  <c r="E46" i="26" l="1"/>
  <c r="I46" i="26" s="1"/>
  <c r="F46" i="26" s="1"/>
  <c r="C27" i="32"/>
  <c r="E143" i="28"/>
  <c r="E26" i="27"/>
  <c r="E12" i="27"/>
  <c r="E8" i="27"/>
  <c r="H8" i="27" s="1"/>
  <c r="F8" i="27" s="1"/>
  <c r="E60" i="26"/>
  <c r="I60" i="26" s="1"/>
  <c r="F60" i="26" s="1"/>
  <c r="E55" i="26"/>
  <c r="J34" i="23"/>
  <c r="B35" i="23" s="1"/>
  <c r="G148" i="28"/>
  <c r="G44" i="23" s="1"/>
  <c r="E12" i="28"/>
  <c r="E75" i="27"/>
  <c r="H75" i="27" s="1"/>
  <c r="F75" i="27" s="1"/>
  <c r="L34" i="33"/>
  <c r="L31" i="33"/>
  <c r="L8" i="33"/>
  <c r="I52" i="26"/>
  <c r="F52" i="26" s="1"/>
  <c r="E50" i="26"/>
  <c r="I50" i="26" s="1"/>
  <c r="I26" i="26"/>
  <c r="F26" i="26" s="1"/>
  <c r="I17" i="26"/>
  <c r="F17" i="26" s="1"/>
  <c r="I15" i="26"/>
  <c r="F15" i="26" s="1"/>
  <c r="L113" i="20"/>
  <c r="C19" i="32"/>
  <c r="E19" i="32" s="1"/>
  <c r="I19" i="32" s="1"/>
  <c r="G19" i="32" s="1"/>
  <c r="L40" i="33"/>
  <c r="L26" i="33"/>
  <c r="L20" i="33"/>
  <c r="E70" i="27"/>
  <c r="H70" i="27" s="1"/>
  <c r="F70" i="27" s="1"/>
  <c r="J109" i="20"/>
  <c r="K71" i="20"/>
  <c r="E24" i="23"/>
  <c r="I24" i="23" s="1"/>
  <c r="H24" i="23" s="1"/>
  <c r="E20" i="23"/>
  <c r="I20" i="23" s="1"/>
  <c r="H20" i="23" s="1"/>
  <c r="E28" i="26"/>
  <c r="I28" i="26" s="1"/>
  <c r="F28" i="26" s="1"/>
  <c r="E23" i="26"/>
  <c r="I23" i="26" s="1"/>
  <c r="E12" i="26"/>
  <c r="I12" i="26" s="1"/>
  <c r="L32" i="33"/>
  <c r="E36" i="32"/>
  <c r="I36" i="32" s="1"/>
  <c r="G36" i="32" s="1"/>
  <c r="E40" i="26"/>
  <c r="J35" i="21"/>
  <c r="B36" i="21" s="1"/>
  <c r="I9" i="26"/>
  <c r="F9" i="26" s="1"/>
  <c r="C11" i="32"/>
  <c r="E11" i="32" s="1"/>
  <c r="I11" i="32" s="1"/>
  <c r="G11" i="32" s="1"/>
  <c r="J43" i="23"/>
  <c r="B44" i="23" s="1"/>
  <c r="E51" i="27"/>
  <c r="E31" i="26"/>
  <c r="I31" i="26" s="1"/>
  <c r="J38" i="23"/>
  <c r="B39" i="23" s="1"/>
  <c r="E27" i="23"/>
  <c r="E23" i="23"/>
  <c r="I23" i="23" s="1"/>
  <c r="H23" i="23" s="1"/>
  <c r="E19" i="23"/>
  <c r="I19" i="23" s="1"/>
  <c r="H19" i="23" s="1"/>
  <c r="E15" i="23"/>
  <c r="I15" i="23" s="1"/>
  <c r="H15" i="23" s="1"/>
  <c r="E11" i="23"/>
  <c r="I11" i="23" s="1"/>
  <c r="H11" i="23" s="1"/>
  <c r="J74" i="28"/>
  <c r="B78" i="28" s="1"/>
  <c r="E39" i="26"/>
  <c r="I39" i="26" s="1"/>
  <c r="K13" i="20"/>
  <c r="O13" i="20" s="1"/>
  <c r="L24" i="33"/>
  <c r="E41" i="17"/>
  <c r="I41" i="17" s="1"/>
  <c r="H41" i="17" s="1"/>
  <c r="E33" i="17"/>
  <c r="I33" i="17" s="1"/>
  <c r="H33" i="17" s="1"/>
  <c r="E28" i="32"/>
  <c r="I28" i="32" s="1"/>
  <c r="G28" i="32" s="1"/>
  <c r="E22" i="32"/>
  <c r="I22" i="32" s="1"/>
  <c r="G22" i="32" s="1"/>
  <c r="E27" i="32"/>
  <c r="I27" i="32" s="1"/>
  <c r="G27" i="32" s="1"/>
  <c r="E15" i="32"/>
  <c r="I15" i="32" s="1"/>
  <c r="G15" i="32" s="1"/>
  <c r="E18" i="32"/>
  <c r="I18" i="32" s="1"/>
  <c r="G18" i="32" s="1"/>
  <c r="E35" i="32"/>
  <c r="I35" i="32" s="1"/>
  <c r="G35" i="32" s="1"/>
  <c r="E45" i="38"/>
  <c r="H45" i="38" s="1"/>
  <c r="F45" i="38" s="1"/>
  <c r="E26" i="17"/>
  <c r="I26" i="17" s="1"/>
  <c r="H26" i="17" s="1"/>
  <c r="E22" i="17"/>
  <c r="I22" i="17" s="1"/>
  <c r="H22" i="17" s="1"/>
  <c r="E10" i="17"/>
  <c r="I10" i="17" s="1"/>
  <c r="H10" i="17" s="1"/>
  <c r="E36" i="17"/>
  <c r="I36" i="17" s="1"/>
  <c r="H36" i="17" s="1"/>
  <c r="E34" i="17"/>
  <c r="I34" i="17" s="1"/>
  <c r="H34" i="17" s="1"/>
  <c r="E30" i="17"/>
  <c r="I30" i="17" s="1"/>
  <c r="H30" i="17" s="1"/>
  <c r="N23" i="13"/>
  <c r="N38" i="13"/>
  <c r="N30" i="13"/>
  <c r="N14" i="13"/>
  <c r="N37" i="13"/>
  <c r="N29" i="13"/>
  <c r="N21" i="13"/>
  <c r="N13" i="13"/>
  <c r="N20" i="13"/>
  <c r="N35" i="13"/>
  <c r="N31" i="13"/>
  <c r="N34" i="13"/>
  <c r="N26" i="13"/>
  <c r="N18" i="13"/>
  <c r="N10" i="13"/>
  <c r="N28" i="13"/>
  <c r="N42" i="13"/>
  <c r="N33" i="13"/>
  <c r="N25" i="13"/>
  <c r="N9" i="13"/>
  <c r="N40" i="13"/>
  <c r="N36" i="13"/>
  <c r="N12" i="13"/>
  <c r="N41" i="13"/>
  <c r="N32" i="13"/>
  <c r="N24" i="13"/>
  <c r="N16" i="13"/>
  <c r="N8" i="13"/>
  <c r="E7" i="70"/>
  <c r="C10" i="5" s="1"/>
  <c r="E10" i="5" s="1"/>
  <c r="J10" i="5" s="1"/>
  <c r="I10" i="5" s="1"/>
  <c r="N7" i="13"/>
  <c r="E6" i="70"/>
  <c r="N6" i="13"/>
  <c r="E27" i="70"/>
  <c r="C30" i="5" s="1"/>
  <c r="E30" i="5" s="1"/>
  <c r="J30" i="5" s="1"/>
  <c r="I30" i="5" s="1"/>
  <c r="N39" i="14"/>
  <c r="C7" i="70"/>
  <c r="C6" i="70"/>
  <c r="N11" i="15"/>
  <c r="C11" i="70" s="1"/>
  <c r="D11" i="70" s="1"/>
  <c r="N23" i="15"/>
  <c r="C23" i="70" s="1"/>
  <c r="N17" i="15"/>
  <c r="C17" i="70" s="1"/>
  <c r="N38" i="15"/>
  <c r="N27" i="15"/>
  <c r="C27" i="70" s="1"/>
  <c r="N31" i="15"/>
  <c r="C31" i="70" s="1"/>
  <c r="N22" i="15"/>
  <c r="C22" i="70" s="1"/>
  <c r="N39" i="15"/>
  <c r="C39" i="70" s="1"/>
  <c r="N15" i="15"/>
  <c r="C15" i="70" s="1"/>
  <c r="N30" i="15"/>
  <c r="C30" i="70" s="1"/>
  <c r="N19" i="15"/>
  <c r="C19" i="70" s="1"/>
  <c r="D19" i="70" s="1"/>
  <c r="C43" i="70"/>
  <c r="D43" i="70" s="1"/>
  <c r="C35" i="70"/>
  <c r="C36" i="70"/>
  <c r="C28" i="70"/>
  <c r="N37" i="6"/>
  <c r="B37" i="70" s="1"/>
  <c r="N39" i="6"/>
  <c r="B39" i="70" s="1"/>
  <c r="N41" i="6"/>
  <c r="B41" i="70" s="1"/>
  <c r="N43" i="6"/>
  <c r="B43" i="70" s="1"/>
  <c r="N35" i="6"/>
  <c r="B35" i="70" s="1"/>
  <c r="E61" i="26"/>
  <c r="I61" i="26" s="1"/>
  <c r="F61" i="26" s="1"/>
  <c r="E56" i="26"/>
  <c r="I56" i="26" s="1"/>
  <c r="F56" i="26" s="1"/>
  <c r="E51" i="26"/>
  <c r="I51" i="26" s="1"/>
  <c r="F51" i="26" s="1"/>
  <c r="I42" i="26"/>
  <c r="F42" i="26" s="1"/>
  <c r="E38" i="26"/>
  <c r="I38" i="26" s="1"/>
  <c r="F38" i="26" s="1"/>
  <c r="E32" i="26"/>
  <c r="E29" i="26"/>
  <c r="I29" i="26" s="1"/>
  <c r="F29" i="26" s="1"/>
  <c r="E27" i="26"/>
  <c r="I27" i="26" s="1"/>
  <c r="F27" i="26" s="1"/>
  <c r="E18" i="26"/>
  <c r="I18" i="26" s="1"/>
  <c r="F18" i="26" s="1"/>
  <c r="E11" i="26"/>
  <c r="I11" i="26" s="1"/>
  <c r="F11" i="26" s="1"/>
  <c r="C42" i="21"/>
  <c r="E14" i="26"/>
  <c r="I14" i="26" s="1"/>
  <c r="F14" i="26" s="1"/>
  <c r="E45" i="26"/>
  <c r="I45" i="26" s="1"/>
  <c r="F45" i="26" s="1"/>
  <c r="E90" i="26"/>
  <c r="E41" i="26"/>
  <c r="I41" i="26" s="1"/>
  <c r="F41" i="26" s="1"/>
  <c r="I58" i="26"/>
  <c r="F58" i="26" s="1"/>
  <c r="E54" i="26"/>
  <c r="I54" i="26" s="1"/>
  <c r="F54" i="26" s="1"/>
  <c r="E57" i="26"/>
  <c r="E44" i="26"/>
  <c r="I44" i="26" s="1"/>
  <c r="F44" i="26" s="1"/>
  <c r="E43" i="26"/>
  <c r="I43" i="26" s="1"/>
  <c r="F43" i="26" s="1"/>
  <c r="E59" i="26"/>
  <c r="I59" i="26" s="1"/>
  <c r="F59" i="26" s="1"/>
  <c r="F23" i="26"/>
  <c r="E67" i="27"/>
  <c r="H67" i="27" s="1"/>
  <c r="F67" i="27" s="1"/>
  <c r="E17" i="27"/>
  <c r="E13" i="27"/>
  <c r="H13" i="27" s="1"/>
  <c r="F13" i="27" s="1"/>
  <c r="E42" i="27"/>
  <c r="H42" i="27" s="1"/>
  <c r="F42" i="27" s="1"/>
  <c r="E30" i="27"/>
  <c r="H30" i="27" s="1"/>
  <c r="F30" i="27" s="1"/>
  <c r="H51" i="27"/>
  <c r="F51" i="27" s="1"/>
  <c r="E43" i="27"/>
  <c r="H43" i="27" s="1"/>
  <c r="E37" i="27"/>
  <c r="H37" i="27" s="1"/>
  <c r="E167" i="28"/>
  <c r="I167" i="28" s="1"/>
  <c r="E147" i="28"/>
  <c r="D148" i="28"/>
  <c r="E148" i="28" s="1"/>
  <c r="H167" i="28"/>
  <c r="E45" i="17"/>
  <c r="I45" i="17" s="1"/>
  <c r="H45" i="17" s="1"/>
  <c r="D44" i="22"/>
  <c r="E44" i="22" s="1"/>
  <c r="H44" i="22" s="1"/>
  <c r="F44" i="22" s="1"/>
  <c r="E90" i="27"/>
  <c r="E20" i="17"/>
  <c r="I20" i="17" s="1"/>
  <c r="H20" i="17" s="1"/>
  <c r="E23" i="17"/>
  <c r="I23" i="17" s="1"/>
  <c r="H23" i="17" s="1"/>
  <c r="E12" i="17"/>
  <c r="I12" i="17" s="1"/>
  <c r="H12" i="17" s="1"/>
  <c r="E39" i="17"/>
  <c r="I39" i="17" s="1"/>
  <c r="H39" i="17" s="1"/>
  <c r="E27" i="17"/>
  <c r="I27" i="17" s="1"/>
  <c r="H27" i="17" s="1"/>
  <c r="G109" i="20"/>
  <c r="G95" i="20"/>
  <c r="K10" i="20"/>
  <c r="K101" i="20"/>
  <c r="O101" i="20" s="1"/>
  <c r="D95" i="20"/>
  <c r="G81" i="20"/>
  <c r="K43" i="20"/>
  <c r="O43" i="20" s="1"/>
  <c r="K123" i="20"/>
  <c r="O123" i="20" s="1"/>
  <c r="K22" i="20"/>
  <c r="O22" i="20" s="1"/>
  <c r="D81" i="20"/>
  <c r="K62" i="20"/>
  <c r="O62" i="20" s="1"/>
  <c r="J39" i="20"/>
  <c r="K111" i="20"/>
  <c r="O111" i="20" s="1"/>
  <c r="K88" i="20"/>
  <c r="O88" i="20" s="1"/>
  <c r="D109" i="20"/>
  <c r="D67" i="20"/>
  <c r="K67" i="20" s="1"/>
  <c r="K66" i="20"/>
  <c r="L66" i="20" s="1"/>
  <c r="J53" i="20"/>
  <c r="K53" i="20" s="1"/>
  <c r="O53" i="20" s="1"/>
  <c r="K30" i="20"/>
  <c r="O30" i="20" s="1"/>
  <c r="K117" i="20"/>
  <c r="O117" i="20" s="1"/>
  <c r="K119" i="20"/>
  <c r="O119" i="20" s="1"/>
  <c r="K105" i="20"/>
  <c r="M105" i="20" s="1"/>
  <c r="D53" i="20"/>
  <c r="K98" i="20"/>
  <c r="O98" i="20" s="1"/>
  <c r="K38" i="20"/>
  <c r="O38" i="20" s="1"/>
  <c r="E37" i="26"/>
  <c r="I37" i="26" s="1"/>
  <c r="F37" i="26" s="1"/>
  <c r="F12" i="26"/>
  <c r="E16" i="26"/>
  <c r="I16" i="26" s="1"/>
  <c r="F16" i="26" s="1"/>
  <c r="H48" i="26"/>
  <c r="H36" i="21" s="1"/>
  <c r="E53" i="26"/>
  <c r="I10" i="26"/>
  <c r="F10" i="26" s="1"/>
  <c r="E19" i="26"/>
  <c r="I19" i="26" s="1"/>
  <c r="F19" i="26" s="1"/>
  <c r="C43" i="21"/>
  <c r="E43" i="21" s="1"/>
  <c r="I43" i="21" s="1"/>
  <c r="F43" i="21" s="1"/>
  <c r="E13" i="26"/>
  <c r="I13" i="26" s="1"/>
  <c r="F13" i="26" s="1"/>
  <c r="E47" i="26"/>
  <c r="I47" i="26" s="1"/>
  <c r="F47" i="26" s="1"/>
  <c r="I36" i="22"/>
  <c r="B37" i="22" s="1"/>
  <c r="E37" i="22" s="1"/>
  <c r="E38" i="27"/>
  <c r="H38" i="27" s="1"/>
  <c r="F38" i="27" s="1"/>
  <c r="E15" i="27"/>
  <c r="H15" i="27" s="1"/>
  <c r="F15" i="27" s="1"/>
  <c r="E52" i="27"/>
  <c r="H52" i="27" s="1"/>
  <c r="E45" i="27"/>
  <c r="H45" i="27" s="1"/>
  <c r="F45" i="27" s="1"/>
  <c r="C76" i="27"/>
  <c r="C43" i="22" s="1"/>
  <c r="E61" i="27"/>
  <c r="H61" i="27" s="1"/>
  <c r="F43" i="27"/>
  <c r="F37" i="27"/>
  <c r="D34" i="27"/>
  <c r="E16" i="27"/>
  <c r="H16" i="27" s="1"/>
  <c r="F16" i="27" s="1"/>
  <c r="E50" i="27"/>
  <c r="H50" i="27" s="1"/>
  <c r="F50" i="27" s="1"/>
  <c r="E46" i="27"/>
  <c r="H46" i="27" s="1"/>
  <c r="F46" i="27" s="1"/>
  <c r="E44" i="27"/>
  <c r="H44" i="27" s="1"/>
  <c r="F44" i="27" s="1"/>
  <c r="E60" i="27"/>
  <c r="H60" i="27" s="1"/>
  <c r="F60" i="27" s="1"/>
  <c r="E40" i="27"/>
  <c r="H40" i="27" s="1"/>
  <c r="E47" i="27"/>
  <c r="H47" i="27" s="1"/>
  <c r="F47" i="27" s="1"/>
  <c r="E9" i="27"/>
  <c r="H9" i="27" s="1"/>
  <c r="F9" i="27" s="1"/>
  <c r="I37" i="22"/>
  <c r="B38" i="22" s="1"/>
  <c r="E38" i="22" s="1"/>
  <c r="H38" i="22" s="1"/>
  <c r="F38" i="22" s="1"/>
  <c r="E18" i="27"/>
  <c r="H18" i="27" s="1"/>
  <c r="F18" i="27" s="1"/>
  <c r="E73" i="27"/>
  <c r="H73" i="27" s="1"/>
  <c r="F73" i="27" s="1"/>
  <c r="E66" i="27"/>
  <c r="H66" i="27" s="1"/>
  <c r="F66" i="27" s="1"/>
  <c r="E27" i="27"/>
  <c r="H27" i="27" s="1"/>
  <c r="F27" i="27" s="1"/>
  <c r="C34" i="27"/>
  <c r="E69" i="27"/>
  <c r="H69" i="27" s="1"/>
  <c r="F69" i="27" s="1"/>
  <c r="D62" i="27"/>
  <c r="E41" i="27"/>
  <c r="H41" i="27" s="1"/>
  <c r="F41" i="27" s="1"/>
  <c r="E23" i="27"/>
  <c r="H23" i="27" s="1"/>
  <c r="F23" i="27" s="1"/>
  <c r="E72" i="27"/>
  <c r="H72" i="27" s="1"/>
  <c r="F72" i="27" s="1"/>
  <c r="E65" i="27"/>
  <c r="H65" i="27" s="1"/>
  <c r="F65" i="27" s="1"/>
  <c r="E39" i="27"/>
  <c r="H39" i="27" s="1"/>
  <c r="F39" i="27" s="1"/>
  <c r="E10" i="27"/>
  <c r="H10" i="27" s="1"/>
  <c r="F10" i="27" s="1"/>
  <c r="H55" i="27"/>
  <c r="F55" i="27" s="1"/>
  <c r="E24" i="27"/>
  <c r="H24" i="27" s="1"/>
  <c r="F24" i="27" s="1"/>
  <c r="F148" i="28"/>
  <c r="F44" i="23" s="1"/>
  <c r="F116" i="28"/>
  <c r="E124" i="28"/>
  <c r="I108" i="28"/>
  <c r="I143" i="28"/>
  <c r="H143" i="28" s="1"/>
  <c r="E71" i="28"/>
  <c r="I71" i="28" s="1"/>
  <c r="I93" i="28"/>
  <c r="I65" i="28"/>
  <c r="H65" i="28" s="1"/>
  <c r="I51" i="28"/>
  <c r="H51" i="28" s="1"/>
  <c r="I23" i="28"/>
  <c r="H23" i="28" s="1"/>
  <c r="I79" i="28"/>
  <c r="H79" i="28" s="1"/>
  <c r="I67" i="28"/>
  <c r="H67" i="28" s="1"/>
  <c r="I107" i="28"/>
  <c r="I53" i="28"/>
  <c r="H53" i="28" s="1"/>
  <c r="I72" i="28"/>
  <c r="H72" i="28" s="1"/>
  <c r="G129" i="28"/>
  <c r="G43" i="23" s="1"/>
  <c r="H90" i="27"/>
  <c r="E38" i="23"/>
  <c r="I38" i="23" s="1"/>
  <c r="H38" i="23" s="1"/>
  <c r="E12" i="23"/>
  <c r="I12" i="23" s="1"/>
  <c r="H12" i="23" s="1"/>
  <c r="E16" i="23"/>
  <c r="I16" i="23" s="1"/>
  <c r="H16" i="23" s="1"/>
  <c r="K79" i="20"/>
  <c r="O79" i="20" s="1"/>
  <c r="K73" i="20"/>
  <c r="O73" i="20" s="1"/>
  <c r="K60" i="20"/>
  <c r="O60" i="20" s="1"/>
  <c r="K28" i="20"/>
  <c r="O28" i="20" s="1"/>
  <c r="K74" i="20"/>
  <c r="O74" i="20" s="1"/>
  <c r="K55" i="20"/>
  <c r="L55" i="20" s="1"/>
  <c r="D39" i="20"/>
  <c r="L99" i="20"/>
  <c r="K75" i="20"/>
  <c r="O75" i="20" s="1"/>
  <c r="L114" i="20"/>
  <c r="M13" i="20"/>
  <c r="K33" i="20"/>
  <c r="O33" i="20" s="1"/>
  <c r="K115" i="20"/>
  <c r="O115" i="20" s="1"/>
  <c r="K18" i="20"/>
  <c r="K91" i="20"/>
  <c r="O91" i="20" s="1"/>
  <c r="K113" i="20"/>
  <c r="M113" i="20" s="1"/>
  <c r="K90" i="20"/>
  <c r="M90" i="20" s="1"/>
  <c r="G53" i="20"/>
  <c r="L13" i="20"/>
  <c r="G39" i="20"/>
  <c r="E34" i="32"/>
  <c r="I34" i="32" s="1"/>
  <c r="G34" i="32" s="1"/>
  <c r="E42" i="32"/>
  <c r="I42" i="32" s="1"/>
  <c r="G42" i="32" s="1"/>
  <c r="E33" i="32"/>
  <c r="I33" i="32" s="1"/>
  <c r="G33" i="32" s="1"/>
  <c r="E10" i="32"/>
  <c r="I10" i="32" s="1"/>
  <c r="G10" i="32" s="1"/>
  <c r="E37" i="32"/>
  <c r="I37" i="32" s="1"/>
  <c r="G37" i="32" s="1"/>
  <c r="E26" i="32"/>
  <c r="I26" i="32" s="1"/>
  <c r="G26" i="32" s="1"/>
  <c r="E24" i="32"/>
  <c r="I24" i="32" s="1"/>
  <c r="G24" i="32" s="1"/>
  <c r="E44" i="17"/>
  <c r="I44" i="17" s="1"/>
  <c r="H44" i="17" s="1"/>
  <c r="E38" i="17"/>
  <c r="I38" i="17" s="1"/>
  <c r="H38" i="17" s="1"/>
  <c r="E14" i="17"/>
  <c r="I14" i="17" s="1"/>
  <c r="H14" i="17" s="1"/>
  <c r="E11" i="17"/>
  <c r="I11" i="17" s="1"/>
  <c r="H11" i="17" s="1"/>
  <c r="E18" i="17"/>
  <c r="I18" i="17" s="1"/>
  <c r="H18" i="17" s="1"/>
  <c r="E40" i="17"/>
  <c r="I40" i="17" s="1"/>
  <c r="H40" i="17" s="1"/>
  <c r="E13" i="17"/>
  <c r="I13" i="17" s="1"/>
  <c r="H13" i="17" s="1"/>
  <c r="E42" i="17"/>
  <c r="I42" i="17" s="1"/>
  <c r="H42" i="17" s="1"/>
  <c r="E19" i="17"/>
  <c r="I19" i="17" s="1"/>
  <c r="H19" i="17" s="1"/>
  <c r="D7" i="70"/>
  <c r="E154" i="28"/>
  <c r="E57" i="28"/>
  <c r="I57" i="28" s="1"/>
  <c r="H57" i="28" s="1"/>
  <c r="E39" i="23"/>
  <c r="E29" i="23"/>
  <c r="E41" i="23"/>
  <c r="E17" i="23"/>
  <c r="I17" i="23" s="1"/>
  <c r="H17" i="23" s="1"/>
  <c r="E9" i="23"/>
  <c r="I9" i="23" s="1"/>
  <c r="H9" i="23" s="1"/>
  <c r="E44" i="23"/>
  <c r="I44" i="23" s="1"/>
  <c r="E14" i="23"/>
  <c r="I14" i="23" s="1"/>
  <c r="H14" i="23" s="1"/>
  <c r="C75" i="28"/>
  <c r="E75" i="28" s="1"/>
  <c r="E35" i="23"/>
  <c r="E33" i="23"/>
  <c r="E37" i="23"/>
  <c r="I37" i="23" s="1"/>
  <c r="H37" i="23" s="1"/>
  <c r="E31" i="23"/>
  <c r="I46" i="28"/>
  <c r="H46" i="28" s="1"/>
  <c r="I86" i="28"/>
  <c r="I124" i="28"/>
  <c r="I109" i="28"/>
  <c r="H109" i="28" s="1"/>
  <c r="I39" i="28"/>
  <c r="H39" i="28" s="1"/>
  <c r="E19" i="28"/>
  <c r="I24" i="28"/>
  <c r="H24" i="28" s="1"/>
  <c r="I45" i="28"/>
  <c r="H45" i="28" s="1"/>
  <c r="I95" i="28"/>
  <c r="I139" i="28"/>
  <c r="H139" i="28" s="1"/>
  <c r="I9" i="28"/>
  <c r="H9" i="28" s="1"/>
  <c r="I22" i="28"/>
  <c r="H22" i="28" s="1"/>
  <c r="I94" i="28"/>
  <c r="I52" i="28"/>
  <c r="H52" i="28" s="1"/>
  <c r="I38" i="28"/>
  <c r="H38" i="28" s="1"/>
  <c r="I50" i="28"/>
  <c r="H50" i="28" s="1"/>
  <c r="I101" i="28"/>
  <c r="I73" i="28"/>
  <c r="H73" i="28" s="1"/>
  <c r="I17" i="28"/>
  <c r="H17" i="28" s="1"/>
  <c r="I10" i="28"/>
  <c r="H10" i="28" s="1"/>
  <c r="I58" i="28"/>
  <c r="H58" i="28" s="1"/>
  <c r="I44" i="28"/>
  <c r="H44" i="28" s="1"/>
  <c r="I30" i="28"/>
  <c r="H30" i="28" s="1"/>
  <c r="I66" i="28"/>
  <c r="H66" i="28" s="1"/>
  <c r="I87" i="28"/>
  <c r="I59" i="28"/>
  <c r="H59" i="28" s="1"/>
  <c r="I37" i="28"/>
  <c r="H37" i="28" s="1"/>
  <c r="K44" i="20"/>
  <c r="O44" i="20" s="1"/>
  <c r="K34" i="20"/>
  <c r="E135" i="28"/>
  <c r="I135" i="28" s="1"/>
  <c r="E110" i="28"/>
  <c r="E106" i="28"/>
  <c r="I106" i="28" s="1"/>
  <c r="E92" i="28"/>
  <c r="I92" i="28" s="1"/>
  <c r="E96" i="28"/>
  <c r="E40" i="28"/>
  <c r="E36" i="28"/>
  <c r="I36" i="28" s="1"/>
  <c r="B28" i="23"/>
  <c r="E28" i="23" s="1"/>
  <c r="I28" i="23" s="1"/>
  <c r="H28" i="23" s="1"/>
  <c r="I27" i="23"/>
  <c r="H27" i="23" s="1"/>
  <c r="F64" i="27"/>
  <c r="I102" i="28"/>
  <c r="I100" i="28"/>
  <c r="K104" i="20"/>
  <c r="O104" i="20" s="1"/>
  <c r="O10" i="20"/>
  <c r="L10" i="20"/>
  <c r="E85" i="28"/>
  <c r="I85" i="28" s="1"/>
  <c r="E89" i="28"/>
  <c r="E47" i="28"/>
  <c r="E43" i="28"/>
  <c r="I43" i="28" s="1"/>
  <c r="K51" i="20"/>
  <c r="M51" i="20" s="1"/>
  <c r="E82" i="28"/>
  <c r="E78" i="28"/>
  <c r="I78" i="28" s="1"/>
  <c r="G62" i="27"/>
  <c r="K36" i="20"/>
  <c r="M36" i="20" s="1"/>
  <c r="E33" i="27"/>
  <c r="H33" i="27" s="1"/>
  <c r="F33" i="27" s="1"/>
  <c r="I90" i="26"/>
  <c r="K116" i="20"/>
  <c r="O116" i="20" s="1"/>
  <c r="K64" i="20"/>
  <c r="O64" i="20" s="1"/>
  <c r="C22" i="5"/>
  <c r="E22" i="5" s="1"/>
  <c r="J22" i="5" s="1"/>
  <c r="I22" i="5" s="1"/>
  <c r="B99" i="28"/>
  <c r="E36" i="26"/>
  <c r="I36" i="26" s="1"/>
  <c r="K56" i="20"/>
  <c r="M56" i="20" s="1"/>
  <c r="K23" i="20"/>
  <c r="O23" i="20" s="1"/>
  <c r="F120" i="28"/>
  <c r="I81" i="28"/>
  <c r="H81" i="28" s="1"/>
  <c r="C34" i="21"/>
  <c r="O71" i="20"/>
  <c r="L71" i="20"/>
  <c r="E64" i="28"/>
  <c r="I64" i="28" s="1"/>
  <c r="E68" i="28"/>
  <c r="J33" i="23"/>
  <c r="B34" i="23" s="1"/>
  <c r="E34" i="23" s="1"/>
  <c r="I34" i="23" s="1"/>
  <c r="H34" i="23" s="1"/>
  <c r="E21" i="23"/>
  <c r="I21" i="23" s="1"/>
  <c r="H21" i="23" s="1"/>
  <c r="F52" i="27"/>
  <c r="F40" i="27"/>
  <c r="M114" i="20"/>
  <c r="J81" i="20"/>
  <c r="C44" i="32"/>
  <c r="E44" i="32" s="1"/>
  <c r="I44" i="32" s="1"/>
  <c r="G44" i="32" s="1"/>
  <c r="E26" i="28"/>
  <c r="E56" i="27"/>
  <c r="H56" i="27" s="1"/>
  <c r="F56" i="27" s="1"/>
  <c r="E31" i="27"/>
  <c r="H31" i="27" s="1"/>
  <c r="F31" i="27" s="1"/>
  <c r="O55" i="20"/>
  <c r="I147" i="28"/>
  <c r="H147" i="28" s="1"/>
  <c r="E28" i="27"/>
  <c r="H28" i="27" s="1"/>
  <c r="F28" i="27" s="1"/>
  <c r="E25" i="27"/>
  <c r="H25" i="27" s="1"/>
  <c r="F25" i="27" s="1"/>
  <c r="E19" i="27"/>
  <c r="H19" i="27" s="1"/>
  <c r="F19" i="27" s="1"/>
  <c r="H17" i="27"/>
  <c r="F17" i="27" s="1"/>
  <c r="C20" i="27"/>
  <c r="D62" i="26"/>
  <c r="F39" i="26"/>
  <c r="E33" i="26"/>
  <c r="I33" i="26" s="1"/>
  <c r="F33" i="26" s="1"/>
  <c r="K121" i="20"/>
  <c r="M121" i="20" s="1"/>
  <c r="K112" i="20"/>
  <c r="M99" i="20"/>
  <c r="K94" i="20"/>
  <c r="O94" i="20" s="1"/>
  <c r="K77" i="20"/>
  <c r="O77" i="20" s="1"/>
  <c r="M71" i="20"/>
  <c r="K65" i="20"/>
  <c r="O65" i="20" s="1"/>
  <c r="K59" i="20"/>
  <c r="O59" i="20" s="1"/>
  <c r="K42" i="20"/>
  <c r="O42" i="20" s="1"/>
  <c r="K29" i="20"/>
  <c r="K24" i="20"/>
  <c r="O24" i="20" s="1"/>
  <c r="E15" i="70"/>
  <c r="J41" i="23"/>
  <c r="B42" i="23" s="1"/>
  <c r="E42" i="23" s="1"/>
  <c r="J29" i="23"/>
  <c r="B30" i="23" s="1"/>
  <c r="E30" i="23" s="1"/>
  <c r="I30" i="23" s="1"/>
  <c r="H30" i="23" s="1"/>
  <c r="E128" i="28"/>
  <c r="I128" i="28" s="1"/>
  <c r="H128" i="28" s="1"/>
  <c r="C48" i="27"/>
  <c r="E11" i="27"/>
  <c r="H11" i="27" s="1"/>
  <c r="F11" i="27" s="1"/>
  <c r="D76" i="26"/>
  <c r="D42" i="21" s="1"/>
  <c r="I57" i="26"/>
  <c r="F57" i="26" s="1"/>
  <c r="F50" i="26"/>
  <c r="E22" i="26"/>
  <c r="I22" i="26" s="1"/>
  <c r="D34" i="26"/>
  <c r="L90" i="20"/>
  <c r="K70" i="20"/>
  <c r="M70" i="20" s="1"/>
  <c r="L62" i="20"/>
  <c r="L23" i="33"/>
  <c r="C25" i="32"/>
  <c r="E25" i="32" s="1"/>
  <c r="I25" i="32" s="1"/>
  <c r="G25" i="32" s="1"/>
  <c r="I88" i="28"/>
  <c r="I32" i="28"/>
  <c r="H32" i="28" s="1"/>
  <c r="J31" i="23"/>
  <c r="B32" i="23" s="1"/>
  <c r="E32" i="23" s="1"/>
  <c r="I32" i="23" s="1"/>
  <c r="H32" i="23" s="1"/>
  <c r="I74" i="28"/>
  <c r="H74" i="28" s="1"/>
  <c r="K118" i="20"/>
  <c r="M118" i="20" s="1"/>
  <c r="K89" i="20"/>
  <c r="O89" i="20" s="1"/>
  <c r="K48" i="20"/>
  <c r="O48" i="20" s="1"/>
  <c r="I18" i="28"/>
  <c r="H18" i="28" s="1"/>
  <c r="I31" i="28"/>
  <c r="H31" i="28" s="1"/>
  <c r="F74" i="26"/>
  <c r="K108" i="20"/>
  <c r="O108" i="20" s="1"/>
  <c r="K93" i="20"/>
  <c r="O93" i="20" s="1"/>
  <c r="K49" i="20"/>
  <c r="M49" i="20" s="1"/>
  <c r="K32" i="20"/>
  <c r="M32" i="20" s="1"/>
  <c r="E45" i="23"/>
  <c r="J39" i="23"/>
  <c r="B40" i="23" s="1"/>
  <c r="E40" i="23" s="1"/>
  <c r="I40" i="23" s="1"/>
  <c r="H40" i="23" s="1"/>
  <c r="E116" i="28"/>
  <c r="I116" i="28" s="1"/>
  <c r="I15" i="28"/>
  <c r="F124" i="28"/>
  <c r="H124" i="28" s="1"/>
  <c r="J25" i="28"/>
  <c r="B29" i="28" s="1"/>
  <c r="E74" i="27"/>
  <c r="H74" i="27" s="1"/>
  <c r="F74" i="27" s="1"/>
  <c r="E57" i="27"/>
  <c r="H57" i="27" s="1"/>
  <c r="F57" i="27" s="1"/>
  <c r="I40" i="26"/>
  <c r="F40" i="26" s="1"/>
  <c r="I8" i="26"/>
  <c r="K76" i="20"/>
  <c r="M10" i="20"/>
  <c r="I11" i="28"/>
  <c r="H11" i="28" s="1"/>
  <c r="E61" i="28"/>
  <c r="E54" i="28"/>
  <c r="F61" i="27"/>
  <c r="E36" i="27"/>
  <c r="H36" i="27" s="1"/>
  <c r="E32" i="27"/>
  <c r="H32" i="27" s="1"/>
  <c r="F32" i="27" s="1"/>
  <c r="E29" i="27"/>
  <c r="H29" i="27" s="1"/>
  <c r="F29" i="27" s="1"/>
  <c r="I32" i="26"/>
  <c r="F32" i="26" s="1"/>
  <c r="D20" i="26"/>
  <c r="D34" i="21" s="1"/>
  <c r="K122" i="20"/>
  <c r="O122" i="20" s="1"/>
  <c r="K107" i="20"/>
  <c r="K106" i="20"/>
  <c r="O106" i="20" s="1"/>
  <c r="L105" i="20"/>
  <c r="K87" i="20"/>
  <c r="K83" i="20"/>
  <c r="O83" i="20" s="1"/>
  <c r="K72" i="20"/>
  <c r="L72" i="20" s="1"/>
  <c r="K47" i="20"/>
  <c r="M47" i="20" s="1"/>
  <c r="K21" i="20"/>
  <c r="O21" i="20" s="1"/>
  <c r="K15" i="20"/>
  <c r="O15" i="20" s="1"/>
  <c r="E35" i="70"/>
  <c r="E31" i="17"/>
  <c r="I31" i="17" s="1"/>
  <c r="H31" i="17" s="1"/>
  <c r="I16" i="28"/>
  <c r="H16" i="28" s="1"/>
  <c r="J35" i="23"/>
  <c r="B36" i="23" s="1"/>
  <c r="E36" i="23" s="1"/>
  <c r="I36" i="23" s="1"/>
  <c r="H36" i="23" s="1"/>
  <c r="I80" i="28"/>
  <c r="H80" i="28" s="1"/>
  <c r="K41" i="20"/>
  <c r="O41" i="20" s="1"/>
  <c r="I60" i="28"/>
  <c r="H60" i="28" s="1"/>
  <c r="E22" i="27"/>
  <c r="H22" i="27" s="1"/>
  <c r="D20" i="27"/>
  <c r="D35" i="22" s="1"/>
  <c r="K103" i="20"/>
  <c r="O103" i="20" s="1"/>
  <c r="K86" i="20"/>
  <c r="O86" i="20" s="1"/>
  <c r="E31" i="70"/>
  <c r="J42" i="23"/>
  <c r="B43" i="23" s="1"/>
  <c r="E43" i="23" s="1"/>
  <c r="I43" i="23" s="1"/>
  <c r="F90" i="27"/>
  <c r="G48" i="27"/>
  <c r="G37" i="22" s="1"/>
  <c r="H26" i="27"/>
  <c r="F26" i="27" s="1"/>
  <c r="H12" i="27"/>
  <c r="F12" i="27" s="1"/>
  <c r="H20" i="26"/>
  <c r="H34" i="21" s="1"/>
  <c r="M91" i="20"/>
  <c r="K84" i="20"/>
  <c r="M84" i="20" s="1"/>
  <c r="K58" i="20"/>
  <c r="O58" i="20" s="1"/>
  <c r="C14" i="5"/>
  <c r="E14" i="5" s="1"/>
  <c r="J14" i="5" s="1"/>
  <c r="I14" i="5" s="1"/>
  <c r="E71" i="27"/>
  <c r="H71" i="27" s="1"/>
  <c r="F71" i="27" s="1"/>
  <c r="E58" i="27"/>
  <c r="H58" i="27" s="1"/>
  <c r="F58" i="27" s="1"/>
  <c r="C62" i="27"/>
  <c r="D48" i="27"/>
  <c r="I53" i="26"/>
  <c r="F53" i="26" s="1"/>
  <c r="F31" i="26"/>
  <c r="I25" i="26"/>
  <c r="F25" i="26" s="1"/>
  <c r="K92" i="20"/>
  <c r="M92" i="20" s="1"/>
  <c r="K80" i="20"/>
  <c r="K63" i="20"/>
  <c r="O63" i="20" s="1"/>
  <c r="K57" i="20"/>
  <c r="O57" i="20" s="1"/>
  <c r="K45" i="20"/>
  <c r="O45" i="20" s="1"/>
  <c r="K27" i="20"/>
  <c r="O27" i="20" s="1"/>
  <c r="C37" i="70"/>
  <c r="C29" i="70"/>
  <c r="E59" i="27"/>
  <c r="H59" i="27" s="1"/>
  <c r="F59" i="27" s="1"/>
  <c r="G34" i="27"/>
  <c r="G36" i="22" s="1"/>
  <c r="E30" i="26"/>
  <c r="I30" i="26" s="1"/>
  <c r="F30" i="26" s="1"/>
  <c r="E24" i="26"/>
  <c r="I24" i="26" s="1"/>
  <c r="F24" i="26" s="1"/>
  <c r="H34" i="26"/>
  <c r="H35" i="21" s="1"/>
  <c r="M74" i="20"/>
  <c r="K69" i="20"/>
  <c r="M69" i="20" s="1"/>
  <c r="M62" i="20"/>
  <c r="M60" i="20"/>
  <c r="E18" i="70"/>
  <c r="E25" i="23"/>
  <c r="I25" i="23" s="1"/>
  <c r="H25" i="23" s="1"/>
  <c r="D76" i="27"/>
  <c r="D43" i="22" s="1"/>
  <c r="E53" i="27"/>
  <c r="H53" i="27" s="1"/>
  <c r="E14" i="27"/>
  <c r="H14" i="27" s="1"/>
  <c r="F14" i="27" s="1"/>
  <c r="I55" i="26"/>
  <c r="F55" i="26" s="1"/>
  <c r="K97" i="20"/>
  <c r="K46" i="20"/>
  <c r="L46" i="20" s="1"/>
  <c r="K31" i="20"/>
  <c r="O31" i="20" s="1"/>
  <c r="K16" i="20"/>
  <c r="K12" i="20"/>
  <c r="O12" i="20" s="1"/>
  <c r="K9" i="20"/>
  <c r="O9" i="20" s="1"/>
  <c r="C14" i="32"/>
  <c r="E14" i="32" s="1"/>
  <c r="I14" i="32" s="1"/>
  <c r="G14" i="32" s="1"/>
  <c r="L12" i="33"/>
  <c r="D120" i="28"/>
  <c r="E120" i="28" s="1"/>
  <c r="I120" i="28" s="1"/>
  <c r="I8" i="28"/>
  <c r="E54" i="27"/>
  <c r="H54" i="27" s="1"/>
  <c r="F54" i="27" s="1"/>
  <c r="G20" i="27"/>
  <c r="G35" i="22" s="1"/>
  <c r="F90" i="26"/>
  <c r="H62" i="26"/>
  <c r="H37" i="21" s="1"/>
  <c r="K120" i="20"/>
  <c r="O120" i="20" s="1"/>
  <c r="K102" i="20"/>
  <c r="K78" i="20"/>
  <c r="L78" i="20" s="1"/>
  <c r="D48" i="26"/>
  <c r="D36" i="21" s="1"/>
  <c r="K19" i="20"/>
  <c r="O19" i="20" s="1"/>
  <c r="C16" i="32"/>
  <c r="E16" i="32" s="1"/>
  <c r="I16" i="32" s="1"/>
  <c r="G16" i="32" s="1"/>
  <c r="L14" i="33"/>
  <c r="K100" i="20"/>
  <c r="K85" i="20"/>
  <c r="K61" i="20"/>
  <c r="M61" i="20" s="1"/>
  <c r="K52" i="20"/>
  <c r="K50" i="20"/>
  <c r="O50" i="20" s="1"/>
  <c r="K37" i="20"/>
  <c r="M37" i="20" s="1"/>
  <c r="K35" i="20"/>
  <c r="O35" i="20" s="1"/>
  <c r="M22" i="20"/>
  <c r="K20" i="20"/>
  <c r="M20" i="20" s="1"/>
  <c r="K11" i="20"/>
  <c r="O11" i="20" s="1"/>
  <c r="C41" i="70"/>
  <c r="C33" i="70"/>
  <c r="E21" i="32"/>
  <c r="I21" i="32" s="1"/>
  <c r="G21" i="32" s="1"/>
  <c r="E68" i="26"/>
  <c r="I68" i="26" s="1"/>
  <c r="F68" i="26" s="1"/>
  <c r="K17" i="20"/>
  <c r="M17" i="20" s="1"/>
  <c r="K14" i="20"/>
  <c r="N29" i="6"/>
  <c r="B29" i="70" s="1"/>
  <c r="C38" i="70"/>
  <c r="E37" i="17"/>
  <c r="I37" i="17" s="1"/>
  <c r="H37" i="17" s="1"/>
  <c r="C38" i="32"/>
  <c r="E38" i="32" s="1"/>
  <c r="I38" i="32" s="1"/>
  <c r="G38" i="32" s="1"/>
  <c r="L36" i="33"/>
  <c r="C20" i="32"/>
  <c r="E20" i="32" s="1"/>
  <c r="I20" i="32" s="1"/>
  <c r="G20" i="32" s="1"/>
  <c r="C12" i="32"/>
  <c r="E12" i="32" s="1"/>
  <c r="I12" i="32" s="1"/>
  <c r="G12" i="32" s="1"/>
  <c r="C40" i="70"/>
  <c r="C32" i="70"/>
  <c r="K42" i="33"/>
  <c r="L42" i="33" s="1"/>
  <c r="L39" i="33"/>
  <c r="C32" i="32"/>
  <c r="E32" i="32" s="1"/>
  <c r="I32" i="32" s="1"/>
  <c r="G32" i="32" s="1"/>
  <c r="L30" i="33"/>
  <c r="C17" i="32"/>
  <c r="E17" i="32" s="1"/>
  <c r="I17" i="32" s="1"/>
  <c r="G17" i="32" s="1"/>
  <c r="L15" i="33"/>
  <c r="C41" i="32"/>
  <c r="E41" i="32" s="1"/>
  <c r="I41" i="32" s="1"/>
  <c r="G41" i="32" s="1"/>
  <c r="C42" i="70"/>
  <c r="C34" i="70"/>
  <c r="E32" i="17"/>
  <c r="I32" i="17" s="1"/>
  <c r="H32" i="17" s="1"/>
  <c r="L37" i="33"/>
  <c r="C30" i="32"/>
  <c r="E30" i="32" s="1"/>
  <c r="I30" i="32" s="1"/>
  <c r="G30" i="32" s="1"/>
  <c r="L28" i="33"/>
  <c r="L13" i="33"/>
  <c r="C9" i="32"/>
  <c r="E9" i="32" s="1"/>
  <c r="I9" i="32" s="1"/>
  <c r="G9" i="32" s="1"/>
  <c r="L7" i="33"/>
  <c r="E40" i="32"/>
  <c r="I40" i="32" s="1"/>
  <c r="G40" i="32" s="1"/>
  <c r="K43" i="33"/>
  <c r="L43" i="33" s="1"/>
  <c r="L27" i="33"/>
  <c r="L11" i="33"/>
  <c r="C13" i="32"/>
  <c r="E13" i="32" s="1"/>
  <c r="I13" i="32" s="1"/>
  <c r="G13" i="32" s="1"/>
  <c r="C8" i="32"/>
  <c r="E8" i="32" s="1"/>
  <c r="I8" i="32" s="1"/>
  <c r="G8" i="32" s="1"/>
  <c r="L41" i="33"/>
  <c r="E29" i="32"/>
  <c r="I29" i="32" s="1"/>
  <c r="G29" i="32" s="1"/>
  <c r="E15" i="17"/>
  <c r="I15" i="17" s="1"/>
  <c r="H15" i="17" s="1"/>
  <c r="L35" i="33"/>
  <c r="L22" i="33"/>
  <c r="L19" i="33"/>
  <c r="C39" i="32"/>
  <c r="E39" i="32" s="1"/>
  <c r="I39" i="32" s="1"/>
  <c r="G39" i="32" s="1"/>
  <c r="C31" i="32"/>
  <c r="E31" i="32" s="1"/>
  <c r="I31" i="32" s="1"/>
  <c r="G31" i="32" s="1"/>
  <c r="C23" i="32"/>
  <c r="E23" i="32" s="1"/>
  <c r="I23" i="32" s="1"/>
  <c r="G23" i="32" s="1"/>
  <c r="N15" i="13" l="1"/>
  <c r="E62" i="27"/>
  <c r="E34" i="27"/>
  <c r="K109" i="20"/>
  <c r="N17" i="13"/>
  <c r="N27" i="13"/>
  <c r="L24" i="20"/>
  <c r="E42" i="21"/>
  <c r="I42" i="21" s="1"/>
  <c r="F42" i="21" s="1"/>
  <c r="N11" i="13"/>
  <c r="E36" i="21"/>
  <c r="I36" i="21" s="1"/>
  <c r="N19" i="13"/>
  <c r="F129" i="28"/>
  <c r="F43" i="23" s="1"/>
  <c r="H120" i="28"/>
  <c r="M38" i="20"/>
  <c r="D6" i="70"/>
  <c r="N22" i="13"/>
  <c r="C9" i="5"/>
  <c r="E9" i="5" s="1"/>
  <c r="J9" i="5" s="1"/>
  <c r="I9" i="5" s="1"/>
  <c r="E39" i="70"/>
  <c r="C42" i="5" s="1"/>
  <c r="E42" i="5" s="1"/>
  <c r="J42" i="5" s="1"/>
  <c r="I42" i="5" s="1"/>
  <c r="N39" i="13"/>
  <c r="D27" i="70"/>
  <c r="D39" i="70"/>
  <c r="E23" i="70"/>
  <c r="D23" i="70" s="1"/>
  <c r="E76" i="26"/>
  <c r="E20" i="26"/>
  <c r="I45" i="23"/>
  <c r="H45" i="23" s="1"/>
  <c r="M119" i="20"/>
  <c r="L119" i="20"/>
  <c r="M111" i="20"/>
  <c r="L111" i="20"/>
  <c r="M123" i="20"/>
  <c r="F36" i="21"/>
  <c r="H36" i="22"/>
  <c r="F36" i="22" s="1"/>
  <c r="L43" i="20"/>
  <c r="M9" i="20"/>
  <c r="O105" i="20"/>
  <c r="M79" i="20"/>
  <c r="L88" i="20"/>
  <c r="M88" i="20"/>
  <c r="K95" i="20"/>
  <c r="O95" i="20" s="1"/>
  <c r="M43" i="20"/>
  <c r="M101" i="20"/>
  <c r="L63" i="20"/>
  <c r="M30" i="20"/>
  <c r="L74" i="20"/>
  <c r="K81" i="20"/>
  <c r="M81" i="20" s="1"/>
  <c r="L109" i="20"/>
  <c r="L104" i="20"/>
  <c r="L38" i="20"/>
  <c r="L22" i="20"/>
  <c r="L30" i="20"/>
  <c r="L101" i="20"/>
  <c r="L123" i="20"/>
  <c r="K39" i="20"/>
  <c r="O39" i="20" s="1"/>
  <c r="O90" i="20"/>
  <c r="L28" i="20"/>
  <c r="L45" i="20"/>
  <c r="M28" i="20"/>
  <c r="M122" i="20"/>
  <c r="L15" i="20"/>
  <c r="L117" i="20"/>
  <c r="L65" i="20"/>
  <c r="L60" i="20"/>
  <c r="L115" i="20"/>
  <c r="M93" i="20"/>
  <c r="M98" i="20"/>
  <c r="M115" i="20"/>
  <c r="M42" i="20"/>
  <c r="M58" i="20"/>
  <c r="L27" i="20"/>
  <c r="L103" i="20"/>
  <c r="L42" i="20"/>
  <c r="M55" i="20"/>
  <c r="M117" i="20"/>
  <c r="L106" i="20"/>
  <c r="L9" i="20"/>
  <c r="L98" i="20"/>
  <c r="O66" i="20"/>
  <c r="L59" i="20"/>
  <c r="M64" i="20"/>
  <c r="M66" i="20"/>
  <c r="M75" i="20"/>
  <c r="F62" i="26"/>
  <c r="E43" i="22"/>
  <c r="H43" i="22" s="1"/>
  <c r="F43" i="22" s="1"/>
  <c r="F20" i="27"/>
  <c r="H37" i="22"/>
  <c r="F37" i="22" s="1"/>
  <c r="E48" i="27"/>
  <c r="I29" i="23"/>
  <c r="H29" i="23" s="1"/>
  <c r="F76" i="26"/>
  <c r="H76" i="27"/>
  <c r="I154" i="28"/>
  <c r="H154" i="28" s="1"/>
  <c r="L120" i="20"/>
  <c r="L53" i="20"/>
  <c r="L116" i="20"/>
  <c r="M23" i="20"/>
  <c r="L18" i="20"/>
  <c r="O18" i="20"/>
  <c r="M24" i="20"/>
  <c r="M116" i="20"/>
  <c r="L73" i="20"/>
  <c r="M63" i="20"/>
  <c r="M57" i="20"/>
  <c r="L91" i="20"/>
  <c r="L75" i="20"/>
  <c r="M77" i="20"/>
  <c r="L23" i="20"/>
  <c r="L58" i="20"/>
  <c r="M18" i="20"/>
  <c r="L33" i="20"/>
  <c r="M45" i="20"/>
  <c r="L93" i="20"/>
  <c r="M73" i="20"/>
  <c r="L64" i="20"/>
  <c r="O113" i="20"/>
  <c r="L79" i="20"/>
  <c r="M120" i="20"/>
  <c r="M103" i="20"/>
  <c r="L31" i="20"/>
  <c r="L57" i="20"/>
  <c r="M33" i="20"/>
  <c r="M48" i="20"/>
  <c r="M89" i="20"/>
  <c r="E34" i="21"/>
  <c r="I34" i="21" s="1"/>
  <c r="F34" i="21" s="1"/>
  <c r="I110" i="28"/>
  <c r="H110" i="28" s="1"/>
  <c r="I96" i="28"/>
  <c r="H96" i="28" s="1"/>
  <c r="H54" i="28"/>
  <c r="I25" i="28"/>
  <c r="H25" i="28" s="1"/>
  <c r="H26" i="28" s="1"/>
  <c r="I31" i="23"/>
  <c r="H31" i="23" s="1"/>
  <c r="I54" i="28"/>
  <c r="I42" i="23"/>
  <c r="H42" i="23" s="1"/>
  <c r="E32" i="70"/>
  <c r="E22" i="70"/>
  <c r="O107" i="20"/>
  <c r="L107" i="20"/>
  <c r="O29" i="20"/>
  <c r="L29" i="20"/>
  <c r="E103" i="28"/>
  <c r="E99" i="28"/>
  <c r="I99" i="28" s="1"/>
  <c r="I103" i="28" s="1"/>
  <c r="H103" i="28" s="1"/>
  <c r="E25" i="70"/>
  <c r="O20" i="20"/>
  <c r="L20" i="20"/>
  <c r="C38" i="5"/>
  <c r="E38" i="5" s="1"/>
  <c r="J38" i="5" s="1"/>
  <c r="I38" i="5" s="1"/>
  <c r="D35" i="70"/>
  <c r="C35" i="22"/>
  <c r="E35" i="22" s="1"/>
  <c r="H35" i="22" s="1"/>
  <c r="F35" i="22" s="1"/>
  <c r="E20" i="27"/>
  <c r="D129" i="28"/>
  <c r="E129" i="28" s="1"/>
  <c r="E29" i="70"/>
  <c r="E17" i="70"/>
  <c r="E36" i="70"/>
  <c r="L17" i="20"/>
  <c r="O17" i="20"/>
  <c r="E20" i="70"/>
  <c r="L35" i="20"/>
  <c r="O85" i="20"/>
  <c r="L85" i="20"/>
  <c r="L19" i="20"/>
  <c r="O97" i="20"/>
  <c r="L97" i="20"/>
  <c r="E34" i="70"/>
  <c r="L84" i="20"/>
  <c r="O84" i="20"/>
  <c r="H34" i="27"/>
  <c r="F22" i="27"/>
  <c r="F34" i="27" s="1"/>
  <c r="L41" i="20"/>
  <c r="I62" i="26"/>
  <c r="L112" i="20"/>
  <c r="O112" i="20"/>
  <c r="M112" i="20"/>
  <c r="O56" i="20"/>
  <c r="L56" i="20"/>
  <c r="M31" i="20"/>
  <c r="L44" i="20"/>
  <c r="O102" i="20"/>
  <c r="L102" i="20"/>
  <c r="F53" i="27"/>
  <c r="F62" i="27" s="1"/>
  <c r="H62" i="27"/>
  <c r="L83" i="20"/>
  <c r="D35" i="21"/>
  <c r="E35" i="21" s="1"/>
  <c r="I35" i="21" s="1"/>
  <c r="F35" i="21" s="1"/>
  <c r="E34" i="26"/>
  <c r="M11" i="20"/>
  <c r="O34" i="20"/>
  <c r="L34" i="20"/>
  <c r="O14" i="20"/>
  <c r="L14" i="20"/>
  <c r="O87" i="20"/>
  <c r="L87" i="20"/>
  <c r="M87" i="20"/>
  <c r="F22" i="26"/>
  <c r="F34" i="26" s="1"/>
  <c r="I34" i="26"/>
  <c r="H64" i="28"/>
  <c r="H68" i="28" s="1"/>
  <c r="I68" i="28"/>
  <c r="L36" i="20"/>
  <c r="O36" i="20"/>
  <c r="H78" i="28"/>
  <c r="H82" i="28" s="1"/>
  <c r="I82" i="28"/>
  <c r="I47" i="28"/>
  <c r="H43" i="28"/>
  <c r="H47" i="28" s="1"/>
  <c r="M102" i="20"/>
  <c r="I39" i="23"/>
  <c r="H39" i="23" s="1"/>
  <c r="M34" i="20"/>
  <c r="E37" i="70"/>
  <c r="O100" i="20"/>
  <c r="L100" i="20"/>
  <c r="E42" i="70"/>
  <c r="L69" i="20"/>
  <c r="O69" i="20"/>
  <c r="M35" i="20"/>
  <c r="M12" i="20"/>
  <c r="E41" i="70"/>
  <c r="E10" i="70"/>
  <c r="M41" i="20"/>
  <c r="L80" i="20"/>
  <c r="O80" i="20"/>
  <c r="M80" i="20"/>
  <c r="M27" i="20"/>
  <c r="M19" i="20"/>
  <c r="M100" i="20"/>
  <c r="C18" i="5"/>
  <c r="E18" i="5" s="1"/>
  <c r="J18" i="5" s="1"/>
  <c r="I18" i="5" s="1"/>
  <c r="D15" i="70"/>
  <c r="M83" i="20"/>
  <c r="E76" i="27"/>
  <c r="M104" i="20"/>
  <c r="I33" i="23"/>
  <c r="H33" i="23" s="1"/>
  <c r="I89" i="28"/>
  <c r="H89" i="28" s="1"/>
  <c r="I41" i="23"/>
  <c r="H41" i="23" s="1"/>
  <c r="E21" i="70"/>
  <c r="F36" i="27"/>
  <c r="F48" i="27" s="1"/>
  <c r="H48" i="27"/>
  <c r="E40" i="70"/>
  <c r="E30" i="70"/>
  <c r="O61" i="20"/>
  <c r="L61" i="20"/>
  <c r="O16" i="20"/>
  <c r="L16" i="20"/>
  <c r="M16" i="20"/>
  <c r="E26" i="70"/>
  <c r="M107" i="20"/>
  <c r="L51" i="20"/>
  <c r="O51" i="20"/>
  <c r="E33" i="70"/>
  <c r="E8" i="70"/>
  <c r="O67" i="20"/>
  <c r="L67" i="20"/>
  <c r="M67" i="20"/>
  <c r="O47" i="20"/>
  <c r="L47" i="20"/>
  <c r="E29" i="28"/>
  <c r="I29" i="28" s="1"/>
  <c r="E33" i="28"/>
  <c r="H20" i="27"/>
  <c r="E16" i="70"/>
  <c r="E14" i="70"/>
  <c r="O37" i="20"/>
  <c r="L37" i="20"/>
  <c r="E9" i="70"/>
  <c r="E28" i="70"/>
  <c r="L50" i="20"/>
  <c r="O78" i="20"/>
  <c r="M78" i="20"/>
  <c r="D18" i="70"/>
  <c r="C21" i="5"/>
  <c r="E21" i="5" s="1"/>
  <c r="J21" i="5" s="1"/>
  <c r="I21" i="5" s="1"/>
  <c r="M14" i="20"/>
  <c r="L92" i="20"/>
  <c r="O92" i="20"/>
  <c r="I76" i="26"/>
  <c r="M44" i="20"/>
  <c r="L86" i="20"/>
  <c r="M86" i="20"/>
  <c r="M15" i="20"/>
  <c r="L108" i="20"/>
  <c r="H15" i="28"/>
  <c r="H19" i="28" s="1"/>
  <c r="I19" i="28"/>
  <c r="O32" i="20"/>
  <c r="L32" i="20"/>
  <c r="L89" i="20"/>
  <c r="M21" i="20"/>
  <c r="L77" i="20"/>
  <c r="M106" i="20"/>
  <c r="H61" i="28"/>
  <c r="E48" i="26"/>
  <c r="I35" i="23"/>
  <c r="H35" i="23" s="1"/>
  <c r="M65" i="20"/>
  <c r="M94" i="20"/>
  <c r="M97" i="20"/>
  <c r="O52" i="20"/>
  <c r="L52" i="20"/>
  <c r="H8" i="28"/>
  <c r="H12" i="28" s="1"/>
  <c r="I12" i="28"/>
  <c r="E62" i="26"/>
  <c r="D37" i="21"/>
  <c r="E37" i="21" s="1"/>
  <c r="I37" i="21" s="1"/>
  <c r="F37" i="21" s="1"/>
  <c r="L118" i="20"/>
  <c r="O118" i="20"/>
  <c r="O70" i="20"/>
  <c r="L70" i="20"/>
  <c r="L94" i="20"/>
  <c r="E38" i="70"/>
  <c r="D31" i="70"/>
  <c r="C34" i="5"/>
  <c r="E34" i="5" s="1"/>
  <c r="J34" i="5" s="1"/>
  <c r="I34" i="5" s="1"/>
  <c r="O76" i="20"/>
  <c r="L76" i="20"/>
  <c r="L121" i="20"/>
  <c r="O121" i="20"/>
  <c r="M53" i="20"/>
  <c r="E13" i="70"/>
  <c r="E24" i="70"/>
  <c r="E12" i="70"/>
  <c r="L11" i="20"/>
  <c r="L12" i="20"/>
  <c r="O46" i="20"/>
  <c r="M46" i="20"/>
  <c r="M52" i="20"/>
  <c r="I75" i="28"/>
  <c r="H71" i="28"/>
  <c r="H75" i="28" s="1"/>
  <c r="L21" i="20"/>
  <c r="O72" i="20"/>
  <c r="M72" i="20"/>
  <c r="L48" i="20"/>
  <c r="F8" i="26"/>
  <c r="F20" i="26" s="1"/>
  <c r="I20" i="26"/>
  <c r="H116" i="28"/>
  <c r="H129" i="28" s="1"/>
  <c r="I129" i="28"/>
  <c r="O49" i="20"/>
  <c r="L49" i="20"/>
  <c r="M76" i="20"/>
  <c r="M50" i="20"/>
  <c r="M29" i="20"/>
  <c r="M108" i="20"/>
  <c r="F36" i="26"/>
  <c r="F48" i="26" s="1"/>
  <c r="I48" i="26"/>
  <c r="I61" i="28"/>
  <c r="L122" i="20"/>
  <c r="M85" i="20"/>
  <c r="F76" i="27"/>
  <c r="H36" i="28"/>
  <c r="H40" i="28" s="1"/>
  <c r="I40" i="28"/>
  <c r="H135" i="28"/>
  <c r="H148" i="28" s="1"/>
  <c r="I148" i="28"/>
  <c r="M59" i="20"/>
  <c r="O81" i="20" l="1"/>
  <c r="L39" i="20"/>
  <c r="M109" i="20"/>
  <c r="O109" i="20"/>
  <c r="C26" i="5"/>
  <c r="E26" i="5" s="1"/>
  <c r="J26" i="5" s="1"/>
  <c r="I26" i="5" s="1"/>
  <c r="D42" i="70"/>
  <c r="C45" i="5"/>
  <c r="E45" i="5" s="1"/>
  <c r="L81" i="20"/>
  <c r="M39" i="20"/>
  <c r="M95" i="20"/>
  <c r="L95" i="20"/>
  <c r="I26" i="28"/>
  <c r="H29" i="28"/>
  <c r="H33" i="28" s="1"/>
  <c r="I33" i="28"/>
  <c r="C36" i="5"/>
  <c r="E36" i="5" s="1"/>
  <c r="J36" i="5" s="1"/>
  <c r="I36" i="5" s="1"/>
  <c r="D33" i="70"/>
  <c r="C44" i="5"/>
  <c r="E44" i="5" s="1"/>
  <c r="D41" i="70"/>
  <c r="D34" i="70"/>
  <c r="C37" i="5"/>
  <c r="E37" i="5" s="1"/>
  <c r="J37" i="5" s="1"/>
  <c r="I37" i="5" s="1"/>
  <c r="D20" i="70"/>
  <c r="C23" i="5"/>
  <c r="E23" i="5" s="1"/>
  <c r="J23" i="5" s="1"/>
  <c r="I23" i="5" s="1"/>
  <c r="C32" i="5"/>
  <c r="E32" i="5" s="1"/>
  <c r="J32" i="5" s="1"/>
  <c r="I32" i="5" s="1"/>
  <c r="D29" i="70"/>
  <c r="C25" i="5"/>
  <c r="E25" i="5" s="1"/>
  <c r="J25" i="5" s="1"/>
  <c r="I25" i="5" s="1"/>
  <c r="D22" i="70"/>
  <c r="D12" i="70"/>
  <c r="C15" i="5"/>
  <c r="E15" i="5" s="1"/>
  <c r="J15" i="5" s="1"/>
  <c r="I15" i="5" s="1"/>
  <c r="D38" i="70"/>
  <c r="C41" i="5"/>
  <c r="E41" i="5" s="1"/>
  <c r="J41" i="5" s="1"/>
  <c r="I41" i="5" s="1"/>
  <c r="C17" i="5"/>
  <c r="E17" i="5" s="1"/>
  <c r="J17" i="5" s="1"/>
  <c r="I17" i="5" s="1"/>
  <c r="D14" i="70"/>
  <c r="C40" i="5"/>
  <c r="E40" i="5" s="1"/>
  <c r="J40" i="5" s="1"/>
  <c r="I40" i="5" s="1"/>
  <c r="D37" i="70"/>
  <c r="C24" i="5"/>
  <c r="E24" i="5" s="1"/>
  <c r="J24" i="5" s="1"/>
  <c r="I24" i="5" s="1"/>
  <c r="D21" i="70"/>
  <c r="C28" i="5"/>
  <c r="E28" i="5" s="1"/>
  <c r="J28" i="5" s="1"/>
  <c r="I28" i="5" s="1"/>
  <c r="D25" i="70"/>
  <c r="D32" i="70"/>
  <c r="C35" i="5"/>
  <c r="E35" i="5" s="1"/>
  <c r="J35" i="5" s="1"/>
  <c r="I35" i="5" s="1"/>
  <c r="C31" i="5"/>
  <c r="E31" i="5" s="1"/>
  <c r="J31" i="5" s="1"/>
  <c r="I31" i="5" s="1"/>
  <c r="D28" i="70"/>
  <c r="D30" i="70"/>
  <c r="C33" i="5"/>
  <c r="E33" i="5" s="1"/>
  <c r="J33" i="5" s="1"/>
  <c r="I33" i="5" s="1"/>
  <c r="D24" i="70"/>
  <c r="C27" i="5"/>
  <c r="E27" i="5" s="1"/>
  <c r="J27" i="5" s="1"/>
  <c r="I27" i="5" s="1"/>
  <c r="D16" i="70"/>
  <c r="C19" i="5"/>
  <c r="E19" i="5" s="1"/>
  <c r="J19" i="5" s="1"/>
  <c r="I19" i="5" s="1"/>
  <c r="C12" i="5"/>
  <c r="E12" i="5" s="1"/>
  <c r="J12" i="5" s="1"/>
  <c r="I12" i="5" s="1"/>
  <c r="D9" i="70"/>
  <c r="D8" i="70"/>
  <c r="C11" i="5"/>
  <c r="E11" i="5" s="1"/>
  <c r="J11" i="5" s="1"/>
  <c r="I11" i="5" s="1"/>
  <c r="D26" i="70"/>
  <c r="C29" i="5"/>
  <c r="E29" i="5" s="1"/>
  <c r="J29" i="5" s="1"/>
  <c r="I29" i="5" s="1"/>
  <c r="D10" i="70"/>
  <c r="C13" i="5"/>
  <c r="E13" i="5" s="1"/>
  <c r="J13" i="5" s="1"/>
  <c r="I13" i="5" s="1"/>
  <c r="D36" i="70"/>
  <c r="C39" i="5"/>
  <c r="E39" i="5" s="1"/>
  <c r="J39" i="5" s="1"/>
  <c r="I39" i="5" s="1"/>
  <c r="C16" i="5"/>
  <c r="E16" i="5" s="1"/>
  <c r="J16" i="5" s="1"/>
  <c r="I16" i="5" s="1"/>
  <c r="D13" i="70"/>
  <c r="D40" i="70"/>
  <c r="C43" i="5"/>
  <c r="E43" i="5" s="1"/>
  <c r="J43" i="5" s="1"/>
  <c r="I43" i="5" s="1"/>
  <c r="D17" i="70"/>
  <c r="C20" i="5"/>
  <c r="E20" i="5" s="1"/>
  <c r="J20" i="5" s="1"/>
  <c r="I20" i="5" s="1"/>
  <c r="J44" i="5" l="1"/>
  <c r="I44" i="5" s="1"/>
  <c r="J45" i="5"/>
  <c r="I4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38" authorId="0" shapeId="0" xr:uid="{00000000-0006-0000-1200-000001000000}">
      <text>
        <r>
          <rPr>
            <sz val="9"/>
            <color indexed="81"/>
            <rFont val="Tahoma"/>
            <family val="2"/>
          </rPr>
          <t xml:space="preserve">USDA estimate
</t>
        </r>
      </text>
    </comment>
    <comment ref="F38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38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3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40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1200-00000A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1200-00000B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41" authorId="0" shapeId="0" xr:uid="{00000000-0006-0000-1200-00000C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1200-00000D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1200-00000E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3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39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 shapeId="0" xr:uid="{00000000-0006-0000-1300-000006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0" authorId="0" shapeId="0" xr:uid="{00000000-0006-0000-13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13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 shapeId="0" xr:uid="{00000000-0006-0000-1300-000009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1" authorId="0" shapeId="0" xr:uid="{00000000-0006-0000-1300-00000A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1300-00000B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00000000-0006-0000-1300-00000C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2" authorId="0" shapeId="0" xr:uid="{00000000-0006-0000-1300-00000D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1300-00000E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38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17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00000000-0006-0000-17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 shapeId="0" xr:uid="{00000000-0006-0000-17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17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17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 shapeId="0" xr:uid="{00000000-0006-0000-17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1700-00000A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1700-00000B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00000000-0006-0000-1700-00000C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1700-00000D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1700-00000E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" authorId="0" shapeId="0" xr:uid="{00000000-0006-0000-1700-00000F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1700-000010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1700-00001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00000000-0006-0000-1700-00001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I26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7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3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7" authorId="0" shapeId="0" xr:uid="{00000000-0006-0000-20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 xr:uid="{00000000-0006-0000-20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00000000-0006-0000-20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00000000-0006-0000-20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20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00000000-0006-0000-20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 shapeId="0" xr:uid="{00000000-0006-0000-20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2000-00000A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2000-00000B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 shapeId="0" xr:uid="{00000000-0006-0000-2000-00000C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2000-00000D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2000-00000E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00000000-0006-0000-2000-00000F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2000-000010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2000-00001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" authorId="0" shapeId="0" xr:uid="{00000000-0006-0000-2000-00001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3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3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3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3" authorId="0" shapeId="0" xr:uid="{00000000-0006-0000-2400-000001000000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3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3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3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J3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39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J39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40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J40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41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3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3" authorId="0" shapeId="0" xr:uid="{00000000-0006-0000-2700-000001000000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40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0" authorId="0" shapeId="0" xr:uid="{00000000-0006-0000-2800-000002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0" authorId="0" shapeId="0" xr:uid="{00000000-0006-0000-2800-000003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1" authorId="0" shapeId="0" xr:uid="{00000000-0006-0000-2800-000004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1" authorId="0" shapeId="0" xr:uid="{00000000-0006-0000-2800-000005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1" authorId="0" shapeId="0" xr:uid="{00000000-0006-0000-2800-000006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2" authorId="0" shapeId="0" xr:uid="{00000000-0006-0000-2800-000007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2" authorId="0" shapeId="0" xr:uid="{00000000-0006-0000-2800-000008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2" authorId="0" shapeId="0" xr:uid="{00000000-0006-0000-2800-000009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3" authorId="0" shapeId="0" xr:uid="{00000000-0006-0000-2800-00000A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3" authorId="0" shapeId="0" xr:uid="{00000000-0006-0000-2800-00000B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3" authorId="0" shapeId="0" xr:uid="{00000000-0006-0000-2800-00000C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4" authorId="0" shapeId="0" xr:uid="{00000000-0006-0000-2800-00000D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4" authorId="0" shapeId="0" xr:uid="{00000000-0006-0000-2800-00000E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4" authorId="0" shapeId="0" xr:uid="{00000000-0006-0000-2800-00000F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5" authorId="0" shapeId="0" xr:uid="{00000000-0006-0000-2800-000010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5" authorId="0" shapeId="0" xr:uid="{00000000-0006-0000-2800-000011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5" authorId="0" shapeId="0" xr:uid="{00000000-0006-0000-2800-000012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40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0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1" authorId="0" shapeId="0" xr:uid="{00000000-0006-0000-2900-000003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1" authorId="0" shapeId="0" xr:uid="{00000000-0006-0000-2900-000004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2" authorId="0" shapeId="0" xr:uid="{00000000-0006-0000-2900-000005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2" authorId="0" shapeId="0" xr:uid="{00000000-0006-0000-2900-000006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3" authorId="0" shapeId="0" xr:uid="{00000000-0006-0000-2900-000007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3" authorId="0" shapeId="0" xr:uid="{00000000-0006-0000-2900-000008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8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9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10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11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Mark Ash</author>
  </authors>
  <commentList>
    <comment ref="C6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USDA estimate.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1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USDA estimate.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1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Ash</author>
    <author>Windows User</author>
  </authors>
  <commentList>
    <comment ref="C60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0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1" shapeId="0" xr:uid="{00000000-0006-0000-08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1" authorId="1" shapeId="0" xr:uid="{00000000-0006-0000-0800-000006000000}">
      <text>
        <r>
          <rPr>
            <sz val="9"/>
            <color indexed="81"/>
            <rFont val="Tahoma"/>
            <family val="2"/>
          </rPr>
          <t xml:space="preserve">USDA estimate
</t>
        </r>
      </text>
    </comment>
    <comment ref="G61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1" shapeId="0" xr:uid="{00000000-0006-0000-08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Ash</author>
  </authors>
  <commentList>
    <comment ref="B94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ERS estimate
</t>
        </r>
      </text>
    </comment>
    <comment ref="E94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ERS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4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ERS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WIN31TONT40</author>
  </authors>
  <commentList>
    <comment ref="J42" authorId="0" shapeId="0" xr:uid="{00000000-0006-0000-0D00-000001000000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3" authorId="0" shapeId="0" xr:uid="{00000000-0006-0000-0D00-000002000000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4" authorId="0" shapeId="0" xr:uid="{00000000-0006-0000-0D00-000003000000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WIN31TONT40</author>
  </authors>
  <commentList>
    <comment ref="J42" authorId="0" shapeId="0" xr:uid="{00000000-0006-0000-0E00-000001000000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3" authorId="0" shapeId="0" xr:uid="{00000000-0006-0000-0E00-000002000000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4" authorId="0" shapeId="0" xr:uid="{00000000-0006-0000-0E00-000003000000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39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9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2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3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<sst xmlns="http://schemas.openxmlformats.org/spreadsheetml/2006/main" count="3871" uniqueCount="743">
  <si>
    <t>Date</t>
  </si>
  <si>
    <t>On-farm</t>
  </si>
  <si>
    <t>Off-farm</t>
  </si>
  <si>
    <t>Total</t>
  </si>
  <si>
    <t>1,000 bushels</t>
  </si>
  <si>
    <t xml:space="preserve">  December 1</t>
  </si>
  <si>
    <t xml:space="preserve">  March 1</t>
  </si>
  <si>
    <t xml:space="preserve">  June 1</t>
  </si>
  <si>
    <t xml:space="preserve">  September 1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</si>
  <si>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</si>
  <si>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</si>
  <si>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</si>
  <si>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</si>
  <si>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</si>
  <si>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</si>
  <si>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</si>
  <si>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</si>
  <si>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</si>
  <si>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</si>
  <si>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</si>
  <si>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Year</t>
  </si>
  <si>
    <t>----------------1,000 acres---------------------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</si>
  <si>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</si>
  <si>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</si>
  <si>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</si>
  <si>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</si>
  <si>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</si>
  <si>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</si>
  <si>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</si>
  <si>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</si>
  <si>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</si>
  <si>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</si>
  <si>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</si>
  <si>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</si>
  <si>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</si>
  <si>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</si>
  <si>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</si>
  <si>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</si>
  <si>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</si>
  <si>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</si>
  <si>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</si>
  <si>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</si>
  <si>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</si>
  <si>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</si>
  <si>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</si>
  <si>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</si>
  <si>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</si>
  <si>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</si>
  <si>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</si>
  <si>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</si>
  <si>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</si>
  <si>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</si>
  <si>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</si>
  <si>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</si>
  <si>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1992 </t>
  </si>
  <si>
    <t>1993</t>
  </si>
  <si>
    <t>1994</t>
  </si>
  <si>
    <t>1995</t>
  </si>
  <si>
    <t xml:space="preserve">1996 </t>
  </si>
  <si>
    <t>1997</t>
  </si>
  <si>
    <t xml:space="preserve">  N.A. =  Not applicable.</t>
  </si>
  <si>
    <t xml:space="preserve"> </t>
  </si>
  <si>
    <t>Planted</t>
  </si>
  <si>
    <t>Harvested</t>
  </si>
  <si>
    <t>Yield</t>
  </si>
  <si>
    <t>per acre</t>
  </si>
  <si>
    <t>Production</t>
  </si>
  <si>
    <t>Value</t>
  </si>
  <si>
    <t>Loan</t>
  </si>
  <si>
    <t>rate 1/</t>
  </si>
  <si>
    <t>Bushels</t>
  </si>
  <si>
    <t>$/bu.</t>
  </si>
  <si>
    <t xml:space="preserve">               N.A.</t>
  </si>
  <si>
    <t xml:space="preserve">     Item</t>
  </si>
  <si>
    <t>1992</t>
  </si>
  <si>
    <t>1996</t>
  </si>
  <si>
    <t>Stocks October 1</t>
  </si>
  <si>
    <t xml:space="preserve">  Coconut</t>
  </si>
  <si>
    <t xml:space="preserve">  Corn</t>
  </si>
  <si>
    <t xml:space="preserve">  Cottonseed</t>
  </si>
  <si>
    <t xml:space="preserve">  Lard</t>
  </si>
  <si>
    <t xml:space="preserve">  Palm</t>
  </si>
  <si>
    <t xml:space="preserve">  Palm kernel</t>
  </si>
  <si>
    <t xml:space="preserve">  Safflower</t>
  </si>
  <si>
    <t xml:space="preserve">  Soybean</t>
  </si>
  <si>
    <t xml:space="preserve">  Sunflower</t>
  </si>
  <si>
    <t xml:space="preserve">  Canola</t>
  </si>
  <si>
    <t xml:space="preserve">  Tallow, edible</t>
  </si>
  <si>
    <t>Imports</t>
  </si>
  <si>
    <t xml:space="preserve">  Peanut</t>
  </si>
  <si>
    <t>Exports</t>
  </si>
  <si>
    <t>Million pounds</t>
  </si>
  <si>
    <t>Domestic disappearance</t>
  </si>
  <si>
    <t xml:space="preserve">Production </t>
  </si>
  <si>
    <t>Yield per acre</t>
  </si>
  <si>
    <t>Pounds</t>
  </si>
  <si>
    <t>$ million</t>
  </si>
  <si>
    <t>Planted 1/</t>
  </si>
  <si>
    <t>Harvested 2/</t>
  </si>
  <si>
    <t>Value 3/</t>
  </si>
  <si>
    <t>beginning</t>
  </si>
  <si>
    <t>Seed, loss,</t>
  </si>
  <si>
    <t>August 1</t>
  </si>
  <si>
    <t>shrinkage,</t>
  </si>
  <si>
    <t xml:space="preserve">                                                                                  residual           farmers</t>
  </si>
  <si>
    <t>residual 1/</t>
  </si>
  <si>
    <t>Quota</t>
  </si>
  <si>
    <t xml:space="preserve">  Year</t>
  </si>
  <si>
    <t>Begin-</t>
  </si>
  <si>
    <t>ning</t>
  </si>
  <si>
    <t>stocks</t>
  </si>
  <si>
    <t>Crush</t>
  </si>
  <si>
    <t>Food</t>
  </si>
  <si>
    <t>and</t>
  </si>
  <si>
    <t>received</t>
  </si>
  <si>
    <t>by</t>
  </si>
  <si>
    <t>farmers</t>
  </si>
  <si>
    <t>Disappearance</t>
  </si>
  <si>
    <t>Price</t>
  </si>
  <si>
    <t>Supply</t>
  </si>
  <si>
    <t>Crop</t>
  </si>
  <si>
    <t>year</t>
  </si>
  <si>
    <t>1998</t>
  </si>
  <si>
    <t>1999</t>
  </si>
  <si>
    <t>1,000 acres</t>
  </si>
  <si>
    <t>Virginia &amp; Carolina</t>
  </si>
  <si>
    <t>Southwest</t>
  </si>
  <si>
    <t>Southeast</t>
  </si>
  <si>
    <t>AL</t>
  </si>
  <si>
    <t>FL</t>
  </si>
  <si>
    <t>GA</t>
  </si>
  <si>
    <t>SC</t>
  </si>
  <si>
    <t>OK</t>
  </si>
  <si>
    <t>TX</t>
  </si>
  <si>
    <t>NM</t>
  </si>
  <si>
    <t>VA</t>
  </si>
  <si>
    <t>NC</t>
  </si>
  <si>
    <t>United</t>
  </si>
  <si>
    <t>States</t>
  </si>
  <si>
    <t>1,000 pounds (in-shell)</t>
  </si>
  <si>
    <t>October 1</t>
  </si>
  <si>
    <t>Beginning</t>
  </si>
  <si>
    <t>Domestic</t>
  </si>
  <si>
    <t>Ending</t>
  </si>
  <si>
    <t>Chicago</t>
  </si>
  <si>
    <t>Cents/lb.</t>
  </si>
  <si>
    <t>3/</t>
  </si>
  <si>
    <t xml:space="preserve">  Year </t>
  </si>
  <si>
    <t>May</t>
  </si>
  <si>
    <t>June</t>
  </si>
  <si>
    <t>July</t>
  </si>
  <si>
    <t>1,000 pounds</t>
  </si>
  <si>
    <t>Oct.</t>
  </si>
  <si>
    <t>Nov.</t>
  </si>
  <si>
    <t>Dec.</t>
  </si>
  <si>
    <t>Jan.</t>
  </si>
  <si>
    <t>Feb.</t>
  </si>
  <si>
    <t>Mar.</t>
  </si>
  <si>
    <t>Apr.</t>
  </si>
  <si>
    <t>Aug.</t>
  </si>
  <si>
    <t>Sep.</t>
  </si>
  <si>
    <t xml:space="preserve">  --------1,000 acres---------</t>
  </si>
  <si>
    <t xml:space="preserve">  Year     </t>
  </si>
  <si>
    <t xml:space="preserve"> June 1</t>
  </si>
  <si>
    <t xml:space="preserve"> Exports</t>
  </si>
  <si>
    <t>Residual</t>
  </si>
  <si>
    <t xml:space="preserve"> --------------- 1,000 bushels ---------------</t>
  </si>
  <si>
    <t>Seed</t>
  </si>
  <si>
    <t>by farmers</t>
  </si>
  <si>
    <t>Minneapolis</t>
  </si>
  <si>
    <t>34% protein</t>
  </si>
  <si>
    <t xml:space="preserve"> ---------------1,000 short tons ---------------</t>
  </si>
  <si>
    <t>1/ Forecast.</t>
  </si>
  <si>
    <t>-------------------- Million pounds --------------------</t>
  </si>
  <si>
    <t>Seed, feed</t>
  </si>
  <si>
    <t>September 1</t>
  </si>
  <si>
    <t>Total 1/</t>
  </si>
  <si>
    <t>residual</t>
  </si>
  <si>
    <t xml:space="preserve">  Year      </t>
  </si>
  <si>
    <t>stocks 1/</t>
  </si>
  <si>
    <t>Production 1/</t>
  </si>
  <si>
    <t>48% protein,</t>
  </si>
  <si>
    <t>Decatur</t>
  </si>
  <si>
    <t>(solvent)</t>
  </si>
  <si>
    <t>Crude,</t>
  </si>
  <si>
    <t xml:space="preserve">September 1 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</si>
  <si>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</si>
  <si>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</si>
  <si>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</si>
  <si>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</si>
  <si>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</si>
  <si>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</si>
  <si>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</si>
  <si>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</si>
  <si>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June</t>
  </si>
  <si>
    <t xml:space="preserve">  July</t>
  </si>
  <si>
    <t xml:space="preserve">  May</t>
  </si>
  <si>
    <t>Ending stocks</t>
  </si>
  <si>
    <t>1999/2000</t>
  </si>
  <si>
    <t xml:space="preserve">October 1 </t>
  </si>
  <si>
    <t xml:space="preserve">  May </t>
  </si>
  <si>
    <t>1,000 short tons</t>
  </si>
  <si>
    <t>Supply 1/</t>
  </si>
  <si>
    <t>Disappearance 1/</t>
  </si>
  <si>
    <t>use</t>
  </si>
  <si>
    <t xml:space="preserve">  August</t>
  </si>
  <si>
    <t>Soybean meal</t>
  </si>
  <si>
    <t xml:space="preserve">between value </t>
  </si>
  <si>
    <t>of products and</t>
  </si>
  <si>
    <t>soybean price</t>
  </si>
  <si>
    <t>Soybean oil</t>
  </si>
  <si>
    <t xml:space="preserve"> Value of products per bushel</t>
  </si>
  <si>
    <t>oil</t>
  </si>
  <si>
    <t>Soybean</t>
  </si>
  <si>
    <t>No. 1</t>
  </si>
  <si>
    <t>yellow</t>
  </si>
  <si>
    <t>Illinois</t>
  </si>
  <si>
    <t>processor</t>
  </si>
  <si>
    <t>Spread</t>
  </si>
  <si>
    <t>Percent of value</t>
  </si>
  <si>
    <t>Lbs.</t>
  </si>
  <si>
    <t>Price 1/</t>
  </si>
  <si>
    <t>Cents</t>
  </si>
  <si>
    <t>$</t>
  </si>
  <si>
    <t>Price 2/</t>
  </si>
  <si>
    <t>value</t>
  </si>
  <si>
    <t xml:space="preserve">    Average</t>
  </si>
  <si>
    <t>exporters</t>
  </si>
  <si>
    <t>Soybeans--</t>
  </si>
  <si>
    <t xml:space="preserve"> Supply--</t>
  </si>
  <si>
    <t xml:space="preserve">  Beg. stocks</t>
  </si>
  <si>
    <t xml:space="preserve">  Production</t>
  </si>
  <si>
    <t xml:space="preserve">  Imports</t>
  </si>
  <si>
    <t xml:space="preserve"> Use--</t>
  </si>
  <si>
    <t xml:space="preserve">  Crush</t>
  </si>
  <si>
    <t xml:space="preserve">  Total</t>
  </si>
  <si>
    <t xml:space="preserve">  Exports</t>
  </si>
  <si>
    <t xml:space="preserve"> Ending stocks</t>
  </si>
  <si>
    <t>Soybean meal--</t>
  </si>
  <si>
    <t xml:space="preserve">  Domestic</t>
  </si>
  <si>
    <t>Soybean oil--</t>
  </si>
  <si>
    <t>Million metric tons</t>
  </si>
  <si>
    <t>Major</t>
  </si>
  <si>
    <t>2/</t>
  </si>
  <si>
    <t>importers</t>
  </si>
  <si>
    <t>World</t>
  </si>
  <si>
    <t>4/</t>
  </si>
  <si>
    <t xml:space="preserve">   Year</t>
  </si>
  <si>
    <t>-----------1,000 acres--------</t>
  </si>
  <si>
    <t>Other</t>
  </si>
  <si>
    <t>Average,</t>
  </si>
  <si>
    <t>Memphis</t>
  </si>
  <si>
    <t>---------Million pounds---------</t>
  </si>
  <si>
    <t>Valley</t>
  </si>
  <si>
    <t>Points</t>
  </si>
  <si>
    <t>crude</t>
  </si>
  <si>
    <t xml:space="preserve"> Production</t>
  </si>
  <si>
    <t>--------1,000 acres----------</t>
  </si>
  <si>
    <t xml:space="preserve">   Disappearance</t>
  </si>
  <si>
    <t xml:space="preserve">      Imports</t>
  </si>
  <si>
    <t>Non-oil</t>
  </si>
  <si>
    <t>use +</t>
  </si>
  <si>
    <t>seed</t>
  </si>
  <si>
    <t xml:space="preserve">Year </t>
  </si>
  <si>
    <t xml:space="preserve">beginning </t>
  </si>
  <si>
    <t>protein</t>
  </si>
  <si>
    <t>N.A.</t>
  </si>
  <si>
    <t xml:space="preserve">     Total</t>
  </si>
  <si>
    <t xml:space="preserve">     Ending</t>
  </si>
  <si>
    <t>June 1</t>
  </si>
  <si>
    <t xml:space="preserve"> stocks</t>
  </si>
  <si>
    <t>$/cwt</t>
  </si>
  <si>
    <t xml:space="preserve">1998 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</si>
  <si>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</si>
  <si>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</si>
  <si>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</si>
  <si>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</si>
  <si>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</si>
  <si>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</si>
  <si>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</si>
  <si>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</si>
  <si>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</si>
  <si>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 xml:space="preserve"> ---------- Million pounds ----------</t>
  </si>
  <si>
    <t xml:space="preserve">Total </t>
  </si>
  <si>
    <t>foreign</t>
  </si>
  <si>
    <t xml:space="preserve">  1/ Estimated.  2/ Forecast.</t>
  </si>
  <si>
    <t>Midwest</t>
  </si>
  <si>
    <t>$/short ton</t>
  </si>
  <si>
    <t xml:space="preserve">    Item                                     </t>
  </si>
  <si>
    <t>Oilseeds:</t>
  </si>
  <si>
    <t xml:space="preserve">  Received by farmers, U.S.</t>
  </si>
  <si>
    <t xml:space="preserve">    Cottonseed</t>
  </si>
  <si>
    <t xml:space="preserve">    Flaxseed</t>
  </si>
  <si>
    <t xml:space="preserve">  $/bu.</t>
  </si>
  <si>
    <t xml:space="preserve">    Peanuts</t>
  </si>
  <si>
    <t xml:space="preserve"> Ct./lb.</t>
  </si>
  <si>
    <t xml:space="preserve">    Soybeans</t>
  </si>
  <si>
    <t xml:space="preserve">  $/cwt</t>
  </si>
  <si>
    <t>Fats and oils:</t>
  </si>
  <si>
    <t xml:space="preserve">  Wholesale</t>
  </si>
  <si>
    <t xml:space="preserve">    Coconut oil, crude, tank cars, N.Y.</t>
  </si>
  <si>
    <t xml:space="preserve">    "</t>
  </si>
  <si>
    <t xml:space="preserve">    Corn oil, crude, tank cars, wet/dry mill Chicago.</t>
  </si>
  <si>
    <t xml:space="preserve">    Cottonseed oil, PBSY, Greenwood, MS</t>
  </si>
  <si>
    <t xml:space="preserve">    Palm oil, refined, c.i.f., bulk, U.S. ports</t>
  </si>
  <si>
    <t xml:space="preserve">    Peanut oil, crude, tank cars f.o.b. Southeastern mills</t>
  </si>
  <si>
    <t xml:space="preserve">    Soybean oil, crude, tank cars, f.o.b. Decatur</t>
  </si>
  <si>
    <t xml:space="preserve">    Sunflower oil, crude Minneapolis</t>
  </si>
  <si>
    <t>Oilmeals:</t>
  </si>
  <si>
    <t xml:space="preserve">    Cottonseed meal, 41 percent protein, solvent, Memphis</t>
  </si>
  <si>
    <t>1982=100</t>
  </si>
  <si>
    <t xml:space="preserve">  Group by origin:</t>
  </si>
  <si>
    <t xml:space="preserve">    Animal fats</t>
  </si>
  <si>
    <t xml:space="preserve">  Group by use:</t>
  </si>
  <si>
    <t>Unit</t>
  </si>
  <si>
    <t xml:space="preserve">      N.A.</t>
  </si>
  <si>
    <t>Stocks</t>
  </si>
  <si>
    <t>Jan. 1</t>
  </si>
  <si>
    <t>Per capita</t>
  </si>
  <si>
    <t xml:space="preserve">  year </t>
  </si>
  <si>
    <t xml:space="preserve">Calendar </t>
  </si>
  <si>
    <t>disappear-</t>
  </si>
  <si>
    <t>Item</t>
  </si>
  <si>
    <t xml:space="preserve">  Soybeans</t>
  </si>
  <si>
    <t xml:space="preserve">  Peanuts</t>
  </si>
  <si>
    <t xml:space="preserve">  Sunflowerseed</t>
  </si>
  <si>
    <t xml:space="preserve">  Rapeseed</t>
  </si>
  <si>
    <t xml:space="preserve">  Copra</t>
  </si>
  <si>
    <t>Direct</t>
  </si>
  <si>
    <t>ance</t>
  </si>
  <si>
    <t>domestic</t>
  </si>
  <si>
    <t>Price  1/</t>
  </si>
  <si>
    <t>Edible</t>
  </si>
  <si>
    <t>2000/01</t>
  </si>
  <si>
    <t xml:space="preserve">  Olive</t>
  </si>
  <si>
    <t xml:space="preserve">  Palm Kernel</t>
  </si>
  <si>
    <t xml:space="preserve">  Fish</t>
  </si>
  <si>
    <t xml:space="preserve">2000/01  </t>
  </si>
  <si>
    <t xml:space="preserve">    Linseed meal, 34 percent protein, Minneapolis</t>
  </si>
  <si>
    <t xml:space="preserve">    Soybean meal, High protein, Decatur</t>
  </si>
  <si>
    <t>1/ Data based on local marketing years except for Argentina and Brazil, which are adjusted to an October-September year.  2/ Major exporters include Brazil, Argentina,</t>
  </si>
  <si>
    <t>2001/02</t>
  </si>
  <si>
    <t>Government Support</t>
  </si>
  <si>
    <t>Loan rate 4/</t>
  </si>
  <si>
    <t>2000</t>
  </si>
  <si>
    <t>Pounds/acre</t>
  </si>
  <si>
    <t>August</t>
  </si>
  <si>
    <t>food use</t>
  </si>
  <si>
    <t>Soybean hulls</t>
  </si>
  <si>
    <t xml:space="preserve">  1/ Crude, tanks, f.o.b. central Illinois.  2/ 44 percent (solvent), Decatur, based on Sept.- Aug. year.  Beginning 2001/02, 48 percent solvent.</t>
  </si>
  <si>
    <t xml:space="preserve">  2/ 44 percent (solvent), Decatur, based on Sept.- Aug. year.  Beginning 2001/02, 48 percent solvent.</t>
  </si>
  <si>
    <t>meal + hulls</t>
  </si>
  <si>
    <t>Price 3/</t>
  </si>
  <si>
    <t>2002/03</t>
  </si>
  <si>
    <t xml:space="preserve"> Total </t>
  </si>
  <si>
    <t>---------1,000 short tons---------</t>
  </si>
  <si>
    <t xml:space="preserve"> ---------- 1,000 short tons ----------</t>
  </si>
  <si>
    <t xml:space="preserve">    Canola oil, Midwest</t>
  </si>
  <si>
    <t xml:space="preserve">    Canola meal, 36 percent protein, Pacific NW</t>
  </si>
  <si>
    <t xml:space="preserve">    Tallow, edible, number 1, delivered, Chicago</t>
  </si>
  <si>
    <t>Pacific NW</t>
  </si>
  <si>
    <t xml:space="preserve">    Lard, loose, delivered, Chicago</t>
  </si>
  <si>
    <t xml:space="preserve">  Corn </t>
  </si>
  <si>
    <t>2003/04</t>
  </si>
  <si>
    <t xml:space="preserve">2003/04  </t>
  </si>
  <si>
    <t xml:space="preserve">  Sesame</t>
  </si>
  <si>
    <t>2004/05</t>
  </si>
  <si>
    <t>1/ Total supply includes imports.  2/ Forecast.</t>
  </si>
  <si>
    <t>1/ Includes millfeed (hull meal).  2/  Forecast.</t>
  </si>
  <si>
    <t xml:space="preserve">  1/   Forecast.</t>
  </si>
  <si>
    <t xml:space="preserve">  1/  Forecast.</t>
  </si>
  <si>
    <t xml:space="preserve">  N.A. = Not available.  1/ Total supply includes imports.  2/  Forecast.  </t>
  </si>
  <si>
    <t>Total  1/</t>
  </si>
  <si>
    <t>Consumption</t>
  </si>
  <si>
    <t xml:space="preserve">  1/ Preliminary.  2/ Forecast.</t>
  </si>
  <si>
    <t>Oil-type</t>
  </si>
  <si>
    <t>Non oil-type</t>
  </si>
  <si>
    <t>All types</t>
  </si>
  <si>
    <t>Lbs/acre</t>
  </si>
  <si>
    <t>$1,000</t>
  </si>
  <si>
    <t xml:space="preserve">1/ Forecast. </t>
  </si>
  <si>
    <t>1/  Forecast.</t>
  </si>
  <si>
    <t xml:space="preserve">    Total</t>
  </si>
  <si>
    <t xml:space="preserve">  1/  PBSY, basis Greenwood, MS, beginning 1992.  2/ Forecast.</t>
  </si>
  <si>
    <t>1/ Estimated.</t>
  </si>
  <si>
    <t>2005/06</t>
  </si>
  <si>
    <t>2004</t>
  </si>
  <si>
    <t xml:space="preserve"> 1/ Estimated. </t>
  </si>
  <si>
    <t xml:space="preserve">    Inedible fats and oils</t>
  </si>
  <si>
    <t xml:space="preserve">    Margarine</t>
  </si>
  <si>
    <t xml:space="preserve">   Total stocks</t>
  </si>
  <si>
    <t xml:space="preserve">   Total imports</t>
  </si>
  <si>
    <t xml:space="preserve">   Total production</t>
  </si>
  <si>
    <t xml:space="preserve">   Total exports</t>
  </si>
  <si>
    <t xml:space="preserve">   Total disappearance</t>
  </si>
  <si>
    <t xml:space="preserve">which have been revised from previous publications with a lower yield per hog conversion rate. </t>
  </si>
  <si>
    <t xml:space="preserve">  1/  ERS and WAOB forecast.   2/ August-July year beginning 1982.   </t>
  </si>
  <si>
    <t xml:space="preserve">  Peanut 2/</t>
  </si>
  <si>
    <t xml:space="preserve"> 1/ Loose, average wholesale, tanks, Chicago. 2/ Census Bureau ended publication of lard production in July 1989.  ERS estimates after 1989, </t>
  </si>
  <si>
    <t xml:space="preserve">     World less United States</t>
  </si>
  <si>
    <t>2006/07</t>
  </si>
  <si>
    <t xml:space="preserve">2005/06 </t>
  </si>
  <si>
    <t xml:space="preserve">    Canola</t>
  </si>
  <si>
    <t>NA</t>
  </si>
  <si>
    <t>2007/08</t>
  </si>
  <si>
    <t xml:space="preserve">    Soybeans, Louisiana Gulf, No.1 yellow</t>
  </si>
  <si>
    <t xml:space="preserve">    Soybeans, Central Illinois, No. 1 yellow</t>
  </si>
  <si>
    <t xml:space="preserve">    Canola, Velva ND</t>
  </si>
  <si>
    <t xml:space="preserve">    Cottonseed, Memphis TN</t>
  </si>
  <si>
    <t xml:space="preserve">  Cash prices at terminal markets</t>
  </si>
  <si>
    <t xml:space="preserve">    Sunflowerseed, Enderlin ND, Nu-Sun</t>
  </si>
  <si>
    <t>2008/09</t>
  </si>
  <si>
    <r>
      <t>Methyl ester</t>
    </r>
    <r>
      <rPr>
        <vertAlign val="superscript"/>
        <sz val="8"/>
        <rFont val="Helvetica"/>
        <family val="2"/>
      </rPr>
      <t>1</t>
    </r>
  </si>
  <si>
    <t xml:space="preserve">2007/08 </t>
  </si>
  <si>
    <t xml:space="preserve">    Flaxseed, Minneapolis</t>
  </si>
  <si>
    <t>Bureau of Labor Statistics Producer Price Indexes:</t>
  </si>
  <si>
    <t xml:space="preserve">    Sunflower meal, 34 percent protein, North Dakota-Minnesota</t>
  </si>
  <si>
    <t>2009/10</t>
  </si>
  <si>
    <t>Biodiesel: FOB Iowa, B100 (Soy methyl ester)</t>
  </si>
  <si>
    <t xml:space="preserve">  $/gallon</t>
  </si>
  <si>
    <t>2010/11</t>
  </si>
  <si>
    <t xml:space="preserve">2009/10 </t>
  </si>
  <si>
    <t xml:space="preserve">    Yellow grease, rail, Minneapolis</t>
  </si>
  <si>
    <t xml:space="preserve">    Palm kernel oil, refined, c.i.f., bulk, U.S. ports</t>
  </si>
  <si>
    <t xml:space="preserve">2010/11 </t>
  </si>
  <si>
    <t>2011/12</t>
  </si>
  <si>
    <r>
      <t xml:space="preserve">Sources:  USDA, Economic Research Service estimates and USDA, Agricultural Marketing Service, </t>
    </r>
    <r>
      <rPr>
        <i/>
        <sz val="8"/>
        <rFont val="Helvetica"/>
        <family val="2"/>
      </rPr>
      <t>National Monthly Feedstuff Prices</t>
    </r>
  </si>
  <si>
    <r>
      <t xml:space="preserve">Sources:  USDA, Economic Research Service estimates and USDA, Foreign Agricultural Service, </t>
    </r>
    <r>
      <rPr>
        <i/>
        <sz val="8"/>
        <rFont val="Helvetica"/>
      </rPr>
      <t>Global Agricultural Trade System</t>
    </r>
    <r>
      <rPr>
        <sz val="8"/>
        <rFont val="Helvetica"/>
        <family val="2"/>
      </rPr>
      <t xml:space="preserve"> and Reuters.</t>
    </r>
  </si>
  <si>
    <r>
      <t xml:space="preserve"> </t>
    </r>
    <r>
      <rPr>
        <i/>
        <sz val="8"/>
        <rFont val="Helvetica"/>
      </rPr>
      <t>Peanut Stocks and Processors</t>
    </r>
    <r>
      <rPr>
        <sz val="8"/>
        <rFont val="Helvetica"/>
        <family val="2"/>
      </rPr>
      <t xml:space="preserve"> and USDA, Foreign Agricultural Service, </t>
    </r>
    <r>
      <rPr>
        <i/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</si>
  <si>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r>
      <t xml:space="preserve">Sources:  Economic Research Service estimates and USDA, Foreign Agricultural Service, </t>
    </r>
    <r>
      <rPr>
        <i/>
        <sz val="8"/>
        <rFont val="Helvetica"/>
      </rPr>
      <t>Global Agricultural Trade System</t>
    </r>
    <r>
      <rPr>
        <sz val="8"/>
        <rFont val="Helvetica"/>
        <family val="2"/>
      </rPr>
      <t xml:space="preserve"> and </t>
    </r>
  </si>
  <si>
    <r>
      <t xml:space="preserve">USDA, Agricultural Marketing Service, </t>
    </r>
    <r>
      <rPr>
        <i/>
        <sz val="8"/>
        <rFont val="Helvetica"/>
      </rPr>
      <t>Tallow, Protein, and Hide Report</t>
    </r>
    <r>
      <rPr>
        <sz val="8"/>
        <rFont val="Helvetica"/>
      </rPr>
      <t xml:space="preserve"> and U.S. Census Bureau, </t>
    </r>
    <r>
      <rPr>
        <i/>
        <sz val="8"/>
        <rFont val="Helvetica"/>
      </rPr>
      <t>Fats and Oils: Production, Consumption and Stocks</t>
    </r>
    <r>
      <rPr>
        <sz val="8"/>
        <rFont val="Helvetica"/>
        <family val="2"/>
      </rPr>
      <t>.</t>
    </r>
  </si>
  <si>
    <t xml:space="preserve">1/  Area planted for all peanuts.  2/  Area harvested peanuts  for nuts. 3/  Crop value is peanuts for nuts. Prior to 2002, includes both quota </t>
  </si>
  <si>
    <t>and nonquota peanuts.  4/  Loan rate established by the 2002 Farm Act. 5/ Forecast.  N.A.= Not applicable.</t>
  </si>
  <si>
    <t>1/ Estimates for farm use and local sales are not available, so these are now included in residual  use.  2/ Forecast</t>
  </si>
  <si>
    <t>1/  Includes planting seed and residual.  2/ Forecast.</t>
  </si>
  <si>
    <t>Notes:   N.A. = Not available.</t>
  </si>
  <si>
    <t xml:space="preserve">    Peanut butter</t>
  </si>
  <si>
    <t>1991=100</t>
  </si>
  <si>
    <t>2012/13</t>
  </si>
  <si>
    <t>Seed, feed,</t>
  </si>
  <si>
    <t>and residual</t>
  </si>
  <si>
    <t>Sep.-Nov.</t>
  </si>
  <si>
    <t>Dec.-Feb.</t>
  </si>
  <si>
    <t>---</t>
  </si>
  <si>
    <t>Mar.-May</t>
  </si>
  <si>
    <t>June-Aug.</t>
  </si>
  <si>
    <t xml:space="preserve">Dec.-Feb. </t>
  </si>
  <si>
    <t xml:space="preserve">Sep.-Nov. </t>
  </si>
  <si>
    <t xml:space="preserve">    Total </t>
  </si>
  <si>
    <t xml:space="preserve">2011/12 </t>
  </si>
  <si>
    <t xml:space="preserve">    Shortening and cooking oils</t>
  </si>
  <si>
    <t>Million bushels</t>
  </si>
  <si>
    <t>$/bushel</t>
  </si>
  <si>
    <t>Cents/pound</t>
  </si>
  <si>
    <t>Million lbs.</t>
  </si>
  <si>
    <t>Lbs./acre</t>
  </si>
  <si>
    <t>$/cwt.</t>
  </si>
  <si>
    <t>October  1</t>
  </si>
  <si>
    <t>Loan rate</t>
  </si>
  <si>
    <t>N.A.= Not authorized.</t>
  </si>
  <si>
    <t xml:space="preserve">    Distillers corn oil, inedible, FOB Eastern Corn Belt.</t>
  </si>
  <si>
    <t>Production 2/</t>
  </si>
  <si>
    <t>East Corn Belt</t>
  </si>
  <si>
    <t>Inedible distillers</t>
  </si>
  <si>
    <t>2013/14</t>
  </si>
  <si>
    <t xml:space="preserve">2012/13 </t>
  </si>
  <si>
    <t xml:space="preserve">    Corn oil, edible, crude, tank cars, wet/dry mill Chicago.</t>
  </si>
  <si>
    <t>Methyl ester</t>
  </si>
  <si>
    <t>1/ A marketing loan program replaced the nonrecourse loan of previous years beginning with the 1991 crop.  Effective marketing loan value is $4.92</t>
  </si>
  <si>
    <t xml:space="preserve"> ($5.02 less 2-percent origination fee)  for crop years 1991-1993.  2/ Forecast.</t>
  </si>
  <si>
    <t>Oil Crops Data: Yearbook Tables</t>
  </si>
  <si>
    <t>U.S. Soybeans and Soybean Products Supply and Disappearance--annual</t>
  </si>
  <si>
    <t>U.S. Soybeans and Soybean Products Supply and Disappearance--crop year quarter and month</t>
  </si>
  <si>
    <t>U.S. Edible Oils and Fats Supply and Disappearance--annual</t>
  </si>
  <si>
    <t>U.S. Fats and oils Domestic consumption--annual</t>
  </si>
  <si>
    <t>Domestic Prices--monthly</t>
  </si>
  <si>
    <t>U.S. Corn oil Supply and Disappearance and Price--annual</t>
  </si>
  <si>
    <t>Exports and Imports--annual</t>
  </si>
  <si>
    <t>World Production, Supply, and Disappearance--annual</t>
  </si>
  <si>
    <t>U.S. Flaxseed and Flaxseed Products--annual</t>
  </si>
  <si>
    <t>U.S. Canola Seed and Canola Products--annual</t>
  </si>
  <si>
    <t>U.S. Sunflowerseed and Sunflowerseed Products--annual</t>
  </si>
  <si>
    <t>U.S. Cottonseed and Cottonseed Products--annual</t>
  </si>
  <si>
    <t>Peanut Acreage, Production, Yield, by State and region--annual</t>
  </si>
  <si>
    <t>U.S. Peanut Acreage, Production, Yield, and Farm Price--annual</t>
  </si>
  <si>
    <t>U.S. Soybeans and Soybean Products Price spreads--monthly</t>
  </si>
  <si>
    <t>U.S. Soybean Stocks--quarterly</t>
  </si>
  <si>
    <t>N.A.=Not applicable.</t>
  </si>
  <si>
    <t>Nonquota</t>
  </si>
  <si>
    <t>1/  Total supply includes imports.  2/ Forecast.  NA= Not available.</t>
  </si>
  <si>
    <r>
      <t xml:space="preserve"> and USDA, Foreign Agricultural Service, </t>
    </r>
    <r>
      <rPr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</si>
  <si>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t>34-percent</t>
  </si>
  <si>
    <t>2014/15</t>
  </si>
  <si>
    <t xml:space="preserve">2013/14  </t>
  </si>
  <si>
    <t xml:space="preserve">2013/14 </t>
  </si>
  <si>
    <t>2015/16</t>
  </si>
  <si>
    <t xml:space="preserve">2014/15 </t>
  </si>
  <si>
    <t xml:space="preserve">      N.A</t>
  </si>
  <si>
    <t>2016/17</t>
  </si>
  <si>
    <t xml:space="preserve">July </t>
  </si>
  <si>
    <t xml:space="preserve"> 1/ Includes millfeed (hull meal) and soy flour. Note: Monthly production data not available for 2011/12-2014-15.</t>
  </si>
  <si>
    <t>1 Prior to January 2006, methyl ester consumption based on quarterly data from the CCC Bioenergy Program. Note: Monthly production data not available for 2011/12-2014-15.</t>
  </si>
  <si>
    <t xml:space="preserve">  3/ Central Illinois, bulk.  Note: Monthly production data not available for 2011/12-2014-15.</t>
  </si>
  <si>
    <t>Total 2/</t>
  </si>
  <si>
    <t>1/ Includes Mississippi. 2/ Includes Arkansas.</t>
  </si>
  <si>
    <t xml:space="preserve">2015/16 </t>
  </si>
  <si>
    <t>Global Agricultural Trade System.</t>
  </si>
  <si>
    <t xml:space="preserve">    Sunflowerseed--All types</t>
  </si>
  <si>
    <t xml:space="preserve">    Sunflowerseed--Oil-type</t>
  </si>
  <si>
    <t xml:space="preserve">    Sunflowerseed--Nonoil type</t>
  </si>
  <si>
    <r>
      <t xml:space="preserve">Source:  USDA, Economic Research Service using data from USDA, National Agricultural Statistics Service, </t>
    </r>
    <r>
      <rPr>
        <i/>
        <sz val="8"/>
        <rFont val="Helvetica"/>
        <family val="2"/>
      </rPr>
      <t>Grain Stocks</t>
    </r>
    <r>
      <rPr>
        <sz val="8"/>
        <rFont val="Helvetica"/>
        <family val="2"/>
      </rPr>
      <t>.</t>
    </r>
  </si>
  <si>
    <r>
      <t xml:space="preserve">Sources: USDA, Economic Research Service using data from USDA, National Agricultural Statistics Service, </t>
    </r>
    <r>
      <rPr>
        <i/>
        <sz val="8"/>
        <rFont val="Helvetica"/>
        <family val="2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>Crop Values</t>
    </r>
    <r>
      <rPr>
        <sz val="8"/>
        <rFont val="Helvetica"/>
        <family val="2"/>
      </rPr>
      <t xml:space="preserve"> and USDA,</t>
    </r>
  </si>
  <si>
    <t xml:space="preserve"> Farm Service Agency, Nonrecourse Marketing Assistance Loans and Loan Deficiency Payments Fact Sheet. </t>
  </si>
  <si>
    <r>
      <t xml:space="preserve">Sources: USDA, Economic Research Service using data from USDA, National Agricultural Statistics Service, </t>
    </r>
    <r>
      <rPr>
        <i/>
        <sz val="8"/>
        <rFont val="Helvetica"/>
        <family val="2"/>
      </rPr>
      <t>Crop Production</t>
    </r>
    <r>
      <rPr>
        <sz val="8"/>
        <rFont val="Helvetica"/>
        <family val="2"/>
      </rPr>
      <t xml:space="preserve">, </t>
    </r>
    <r>
      <rPr>
        <i/>
        <sz val="8"/>
        <rFont val="Helvetica"/>
        <family val="2"/>
      </rPr>
      <t>Grain Stocks</t>
    </r>
    <r>
      <rPr>
        <sz val="8"/>
        <rFont val="Helvetica"/>
        <family val="2"/>
      </rPr>
      <t xml:space="preserve"> and</t>
    </r>
    <r>
      <rPr>
        <i/>
        <sz val="8"/>
        <rFont val="Helvetica"/>
        <family val="2"/>
      </rPr>
      <t/>
    </r>
  </si>
  <si>
    <r>
      <rPr>
        <i/>
        <sz val="8"/>
        <rFont val="Helvetica"/>
      </rPr>
      <t xml:space="preserve"> Fats &amp; Oils: Oilseed Crushings</t>
    </r>
    <r>
      <rPr>
        <sz val="8"/>
        <rFont val="Helvetica"/>
      </rPr>
      <t xml:space="preserve">, </t>
    </r>
    <r>
      <rPr>
        <i/>
        <sz val="8"/>
        <rFont val="Helvetica"/>
      </rPr>
      <t>Agricultural Prices</t>
    </r>
    <r>
      <rPr>
        <sz val="8"/>
        <rFont val="Helvetica"/>
      </rPr>
      <t xml:space="preserve">, and USDA, Foreign Agricultural Service, </t>
    </r>
    <r>
      <rPr>
        <i/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</si>
  <si>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t xml:space="preserve">Sources: USDA, Economic Research Service using data from USDA, National Agricultural Statistics Service, Fats &amp; Oils: Oilseed Crushings, USDA, Agricultural </t>
  </si>
  <si>
    <r>
      <t xml:space="preserve">Marketing Service, National Monthly Feedstuff Prices,  </t>
    </r>
    <r>
      <rPr>
        <sz val="8"/>
        <rFont val="Helvetica"/>
      </rPr>
      <t>and USDA, Foreign Agricultural Service,</t>
    </r>
    <r>
      <rPr>
        <i/>
        <sz val="8"/>
        <rFont val="Helvetica"/>
      </rPr>
      <t xml:space="preserve"> Global Agricultural Trade Internet System</t>
    </r>
    <r>
      <rPr>
        <sz val="8"/>
        <rFont val="Helvetica"/>
        <family val="2"/>
      </rPr>
      <t>.</t>
    </r>
  </si>
  <si>
    <r>
      <t xml:space="preserve">Information Administration, </t>
    </r>
    <r>
      <rPr>
        <i/>
        <sz val="8"/>
        <rFont val="Helvetica"/>
      </rPr>
      <t>Monthly Biodiesel Production Report</t>
    </r>
    <r>
      <rPr>
        <sz val="8"/>
        <rFont val="Helvetica"/>
      </rPr>
      <t>.</t>
    </r>
  </si>
  <si>
    <r>
      <t xml:space="preserve">Sources: USDA, Economic Research Service using data from USDA, National Agricultural Statistics Service, </t>
    </r>
    <r>
      <rPr>
        <i/>
        <sz val="8"/>
        <rFont val="Helvetica"/>
      </rPr>
      <t>Fats &amp; Oils: Oilseed Crushings</t>
    </r>
    <r>
      <rPr>
        <sz val="8"/>
        <rFont val="Helvetica"/>
        <family val="2"/>
      </rPr>
      <t xml:space="preserve">, </t>
    </r>
  </si>
  <si>
    <r>
      <rPr>
        <sz val="8"/>
        <rFont val="Helvetica"/>
      </rPr>
      <t>USDA, Agricultural Marketing Service,</t>
    </r>
    <r>
      <rPr>
        <i/>
        <sz val="8"/>
        <rFont val="Helvetica"/>
      </rPr>
      <t xml:space="preserve"> National Monthly Feedstuff Prices, and </t>
    </r>
    <r>
      <rPr>
        <sz val="8"/>
        <rFont val="Helvetica"/>
      </rPr>
      <t>USDA, Foreign Agricultural Service,</t>
    </r>
    <r>
      <rPr>
        <i/>
        <sz val="8"/>
        <rFont val="Helvetica"/>
      </rPr>
      <t xml:space="preserve"> Global Agricultural Trade System, </t>
    </r>
    <r>
      <rPr>
        <sz val="8"/>
        <rFont val="Helvetica"/>
      </rPr>
      <t>and</t>
    </r>
    <r>
      <rPr>
        <i/>
        <sz val="8"/>
        <rFont val="Helvetica"/>
        <family val="2"/>
      </rPr>
      <t xml:space="preserve"> </t>
    </r>
    <r>
      <rPr>
        <sz val="8"/>
        <rFont val="Helvetica"/>
      </rPr>
      <t xml:space="preserve">Energy </t>
    </r>
  </si>
  <si>
    <r>
      <t xml:space="preserve">Sources:  USDA, Economic Research Service using data from USDA, National Agricultural Statistics Service, </t>
    </r>
    <r>
      <rPr>
        <i/>
        <sz val="8"/>
        <rFont val="Helvetica"/>
      </rPr>
      <t>Fats &amp; Oils: Oilseed Crushings</t>
    </r>
    <r>
      <rPr>
        <sz val="8"/>
        <rFont val="Helvetica"/>
      </rPr>
      <t xml:space="preserve"> and </t>
    </r>
  </si>
  <si>
    <t>Foreign Agricultural Service, Global Agricultural Trade System.</t>
  </si>
  <si>
    <t>USDA, Foreign Agricultural Service, Global Agricultural Trade System.</t>
  </si>
  <si>
    <r>
      <rPr>
        <i/>
        <sz val="8"/>
        <rFont val="Helvetica"/>
      </rPr>
      <t>National Monthly Feedstuff Prices</t>
    </r>
    <r>
      <rPr>
        <sz val="8"/>
        <rFont val="Helvetica"/>
        <family val="2"/>
      </rPr>
      <t>.</t>
    </r>
  </si>
  <si>
    <r>
      <t xml:space="preserve">Sources:   USDA, Economic Research Service using data from USDA, National Agricultural Statistics Service, </t>
    </r>
    <r>
      <rPr>
        <i/>
        <sz val="8"/>
        <rFont val="Helvetica"/>
      </rPr>
      <t>Fats &amp; Oils: Oilseed Crushings</t>
    </r>
    <r>
      <rPr>
        <sz val="8"/>
        <rFont val="Helvetica"/>
        <family val="2"/>
      </rPr>
      <t xml:space="preserve"> and USDA, Agricultural Marketing Service, </t>
    </r>
    <r>
      <rPr>
        <i/>
        <sz val="8"/>
        <rFont val="Helvetica"/>
      </rPr>
      <t/>
    </r>
  </si>
  <si>
    <r>
      <t xml:space="preserve">Sources:  USDA, Economic Research Service using data from USDA, National Agricultural Statistics Service, </t>
    </r>
    <r>
      <rPr>
        <i/>
        <sz val="8"/>
        <rFont val="Helvetica"/>
        <family val="2"/>
      </rPr>
      <t xml:space="preserve">Crop Production </t>
    </r>
    <r>
      <rPr>
        <sz val="8"/>
        <rFont val="Helvetica"/>
        <family val="2"/>
      </rPr>
      <t>and</t>
    </r>
    <r>
      <rPr>
        <i/>
        <sz val="8"/>
        <rFont val="Helvetica"/>
        <family val="2"/>
      </rPr>
      <t xml:space="preserve"> Crop Values </t>
    </r>
  </si>
  <si>
    <r>
      <t xml:space="preserve">and  USDA, Farm Service Agency, </t>
    </r>
    <r>
      <rPr>
        <i/>
        <sz val="8"/>
        <rFont val="Helvetica"/>
      </rPr>
      <t>Nonrecourse Marketing Assistance Loans and Loan Deficiency Payments Fact Sheet</t>
    </r>
    <r>
      <rPr>
        <sz val="8"/>
        <rFont val="Helvetica"/>
        <family val="2"/>
      </rPr>
      <t>.</t>
    </r>
  </si>
  <si>
    <r>
      <t xml:space="preserve">Sources: USDA, Economic Research Service using data from USDA, National Agricultural Statistics Service, </t>
    </r>
    <r>
      <rPr>
        <i/>
        <sz val="8"/>
        <rFont val="Helvetica"/>
        <family val="2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/>
    </r>
  </si>
  <si>
    <r>
      <rPr>
        <i/>
        <sz val="8"/>
        <rFont val="Helvetica"/>
      </rPr>
      <t>Peanut Stocks and Processing</t>
    </r>
    <r>
      <rPr>
        <sz val="8"/>
        <rFont val="Helvetica"/>
        <family val="2"/>
      </rPr>
      <t xml:space="preserve"> and Agricultural Prices and USDA, Foreign Agricultural Service, </t>
    </r>
    <r>
      <rPr>
        <i/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</si>
  <si>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>.</t>
    </r>
  </si>
  <si>
    <r>
      <t>Sources: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</rPr>
      <t>Crop Values</t>
    </r>
    <r>
      <rPr>
        <sz val="8"/>
        <rFont val="Helvetica"/>
        <family val="2"/>
      </rPr>
      <t>.</t>
    </r>
  </si>
  <si>
    <r>
      <t>Sources: 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</rPr>
      <t>Agricultural Prices and</t>
    </r>
    <r>
      <rPr>
        <i/>
        <sz val="8"/>
        <rFont val="Helvetica"/>
      </rPr>
      <t/>
    </r>
  </si>
  <si>
    <r>
      <t xml:space="preserve"> </t>
    </r>
    <r>
      <rPr>
        <i/>
        <sz val="8"/>
        <rFont val="Helvetica"/>
      </rPr>
      <t>Oilseed Crushings, Production, Consumption and Stocks</t>
    </r>
    <r>
      <rPr>
        <sz val="8"/>
        <rFont val="Helvetica"/>
        <family val="2"/>
      </rPr>
      <t xml:space="preserve"> and USDA, Foreign Agricultural Service, Global Agricultural Trade System.</t>
    </r>
  </si>
  <si>
    <r>
      <t xml:space="preserve">and USDA, Agricultural Marketing Service, </t>
    </r>
    <r>
      <rPr>
        <i/>
        <sz val="8"/>
        <rFont val="Helvetica"/>
      </rPr>
      <t>National Monthly Feedstuff Prices</t>
    </r>
    <r>
      <rPr>
        <sz val="8"/>
        <rFont val="Helvetica"/>
        <family val="2"/>
      </rPr>
      <t xml:space="preserve"> and USDA, Foreign Agricultural Service, </t>
    </r>
    <r>
      <rPr>
        <i/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</si>
  <si>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r>
      <t xml:space="preserve">Sources: </t>
    </r>
    <r>
      <rPr>
        <i/>
        <sz val="8"/>
        <rFont val="Helvetica"/>
        <family val="2"/>
      </rPr>
      <t xml:space="preserve"> </t>
    </r>
    <r>
      <rPr>
        <sz val="8"/>
        <rFont val="Helvetica"/>
      </rPr>
      <t>USDA, Economic Research Service using data from</t>
    </r>
    <r>
      <rPr>
        <i/>
        <sz val="8"/>
        <rFont val="Helvetica"/>
        <family val="2"/>
      </rPr>
      <t xml:space="preserve"> </t>
    </r>
    <r>
      <rPr>
        <sz val="8"/>
        <rFont val="Helvetica"/>
      </rPr>
      <t>USDA, National Agricultural Statistics Service,</t>
    </r>
    <r>
      <rPr>
        <i/>
        <sz val="8"/>
        <rFont val="Helvetica"/>
        <family val="2"/>
      </rPr>
      <t xml:space="preserve">  Oilseed Crushings, Production, Consumption and Stocks </t>
    </r>
  </si>
  <si>
    <r>
      <t>Sources: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  <family val="2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>Crop Values</t>
    </r>
    <r>
      <rPr>
        <sz val="8"/>
        <rFont val="Helvetica"/>
        <family val="2"/>
      </rPr>
      <t>.</t>
    </r>
  </si>
  <si>
    <r>
      <t xml:space="preserve">Sources: USDA, Economic Research Service using data from USDA, National Agricultural Statistics Service, </t>
    </r>
    <r>
      <rPr>
        <i/>
        <sz val="8"/>
        <rFont val="Helvetica"/>
      </rPr>
      <t>Fats &amp; Oils: Oilseed Crushings</t>
    </r>
    <r>
      <rPr>
        <sz val="8"/>
        <rFont val="Helvetica"/>
        <family val="2"/>
      </rPr>
      <t xml:space="preserve"> and</t>
    </r>
  </si>
  <si>
    <r>
      <t xml:space="preserve">Sources: USDA, Economic Research Service using data from USDA, National Agricultural Statistics Service,  </t>
    </r>
    <r>
      <rPr>
        <i/>
        <sz val="8"/>
        <rFont val="Helvetica"/>
        <family val="2"/>
      </rPr>
      <t xml:space="preserve">Agricultural Prices and </t>
    </r>
    <r>
      <rPr>
        <sz val="8"/>
        <rFont val="Helvetica"/>
      </rPr>
      <t>USDA</t>
    </r>
    <r>
      <rPr>
        <sz val="8"/>
        <rFont val="Helvetica"/>
        <family val="2"/>
      </rPr>
      <t xml:space="preserve">, Agricultural Marketing Service, </t>
    </r>
    <r>
      <rPr>
        <i/>
        <sz val="8"/>
        <rFont val="Helvetica"/>
        <family val="2"/>
      </rPr>
      <t>National Monthly Feedstuff Prices</t>
    </r>
    <r>
      <rPr>
        <sz val="8"/>
        <rFont val="Helvetica"/>
        <family val="2"/>
      </rPr>
      <t xml:space="preserve"> and </t>
    </r>
    <r>
      <rPr>
        <i/>
        <sz val="8"/>
        <rFont val="Helvetica"/>
      </rPr>
      <t/>
    </r>
  </si>
  <si>
    <r>
      <t xml:space="preserve"> </t>
    </r>
    <r>
      <rPr>
        <i/>
        <sz val="8"/>
        <rFont val="Helvetica"/>
      </rPr>
      <t>Milling &amp; Baking News</t>
    </r>
    <r>
      <rPr>
        <sz val="8"/>
        <rFont val="Helvetica"/>
        <family val="2"/>
      </rPr>
      <t xml:space="preserve"> and Bureau of Labor Statistics, </t>
    </r>
    <r>
      <rPr>
        <i/>
        <sz val="8"/>
        <rFont val="Helvetica"/>
        <family val="2"/>
      </rPr>
      <t>Producer Price Index Press Release</t>
    </r>
    <r>
      <rPr>
        <sz val="8"/>
        <rFont val="Helvetica"/>
        <family val="2"/>
      </rPr>
      <t>.</t>
    </r>
  </si>
  <si>
    <r>
      <t xml:space="preserve">Source: USDA, Economic Research Service using data from USDA, World Agricultural Outlook Board,  </t>
    </r>
    <r>
      <rPr>
        <i/>
        <sz val="8"/>
        <rFont val="Helvetica"/>
        <family val="2"/>
      </rPr>
      <t>World  Agricultural Supply and Demand Estimates</t>
    </r>
    <r>
      <rPr>
        <sz val="8"/>
        <rFont val="Helvetica"/>
        <family val="2"/>
      </rPr>
      <t>.</t>
    </r>
  </si>
  <si>
    <t>Source: USDA, Economic Research Service using data from USDA, Foreign Agricultural Service,</t>
  </si>
  <si>
    <t xml:space="preserve">  Oilseeds: World Markets and Trade.</t>
  </si>
  <si>
    <r>
      <t xml:space="preserve">Sources:  USDA, Economic Research Service using data from USDA, National Agricultural Statistics Service, </t>
    </r>
    <r>
      <rPr>
        <i/>
        <sz val="8"/>
        <rFont val="Helvetica"/>
      </rPr>
      <t>Fats &amp; Oils: Oilseed Crushings</t>
    </r>
    <r>
      <rPr>
        <sz val="8"/>
        <rFont val="Helvetica"/>
      </rPr>
      <t xml:space="preserve"> and Foreign Agricultural Service, </t>
    </r>
  </si>
  <si>
    <r>
      <t xml:space="preserve">Sources:  USDA, Economic Research Service using data from USDA, National Agricultural Statistics Service,  </t>
    </r>
    <r>
      <rPr>
        <i/>
        <sz val="8"/>
        <rFont val="Helvetica"/>
      </rPr>
      <t xml:space="preserve">Oilseed Crushings, Production, Consumption </t>
    </r>
  </si>
  <si>
    <r>
      <t xml:space="preserve">and </t>
    </r>
    <r>
      <rPr>
        <i/>
        <sz val="8"/>
        <rFont val="Helvetica"/>
      </rPr>
      <t>Stocks</t>
    </r>
    <r>
      <rPr>
        <sz val="8"/>
        <rFont val="Helvetica"/>
      </rPr>
      <t xml:space="preserve"> and USDA, Foreign Agricultural Service, Global Agricultural Trade System</t>
    </r>
    <r>
      <rPr>
        <i/>
        <sz val="8"/>
        <rFont val="Helvetica"/>
      </rPr>
      <t>,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>Milling &amp; Baking News</t>
    </r>
    <r>
      <rPr>
        <sz val="8"/>
        <rFont val="Helvetica"/>
        <family val="2"/>
      </rPr>
      <t>.</t>
    </r>
  </si>
  <si>
    <r>
      <t xml:space="preserve">Sources: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, </t>
    </r>
    <r>
      <rPr>
        <i/>
        <sz val="8"/>
        <rFont val="Helvetica"/>
      </rPr>
      <t>Grain Stocks</t>
    </r>
    <r>
      <rPr>
        <sz val="8"/>
        <rFont val="Helvetica"/>
        <family val="2"/>
      </rPr>
      <t xml:space="preserve">, and </t>
    </r>
    <r>
      <rPr>
        <i/>
        <sz val="8"/>
        <rFont val="Helvetica"/>
      </rPr>
      <t/>
    </r>
  </si>
  <si>
    <r>
      <rPr>
        <i/>
        <sz val="8"/>
        <rFont val="Helvetica"/>
      </rPr>
      <t>Agricultural Prices</t>
    </r>
    <r>
      <rPr>
        <sz val="8"/>
        <rFont val="Helvetica"/>
      </rPr>
      <t xml:space="preserve">, USDA, Foreign Agricultural Service, Global Agricultural Trade System, and Farm Service Agency, </t>
    </r>
    <r>
      <rPr>
        <i/>
        <sz val="8"/>
        <rFont val="Helvetica"/>
      </rPr>
      <t/>
    </r>
  </si>
  <si>
    <r>
      <rPr>
        <i/>
        <sz val="8"/>
        <rFont val="Helvetica"/>
      </rPr>
      <t>Nonrecourse Marketing Assistance Loans and Loan Deficiency Payments Fact Sheet</t>
    </r>
    <r>
      <rPr>
        <sz val="8"/>
        <rFont val="Helvetica"/>
      </rPr>
      <t>, and National Sunflower Association.</t>
    </r>
  </si>
  <si>
    <t>Sources: USDA, Economic Research Service using data from USDA, Economic Research Service estimates and USDA, Agricultural Marketing Service,</t>
  </si>
  <si>
    <r>
      <t xml:space="preserve"> </t>
    </r>
    <r>
      <rPr>
        <i/>
        <sz val="8"/>
        <rFont val="Helvetica"/>
      </rPr>
      <t>National Monthly Feedstuff Prices</t>
    </r>
    <r>
      <rPr>
        <sz val="8"/>
        <rFont val="Helvetica"/>
        <family val="2"/>
      </rPr>
      <t xml:space="preserve"> and USDA, Foreign Agricultural Service, </t>
    </r>
    <r>
      <rPr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</si>
  <si>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r>
      <t xml:space="preserve">Sources: USDA, Economic Research Service using data from USDA, Economic Research Service estimates and U.S. Census Bureau, Fats and Oils: </t>
    </r>
    <r>
      <rPr>
        <i/>
        <sz val="8"/>
        <rFont val="Helvetica"/>
        <family val="2"/>
      </rPr>
      <t>Consumption, Production,</t>
    </r>
  </si>
  <si>
    <r>
      <t xml:space="preserve"> </t>
    </r>
    <r>
      <rPr>
        <i/>
        <sz val="8"/>
        <rFont val="Helvetica"/>
      </rPr>
      <t>and Stocks</t>
    </r>
    <r>
      <rPr>
        <sz val="8"/>
        <rFont val="Helvetica"/>
        <family val="2"/>
      </rPr>
      <t xml:space="preserve"> and USDA, Agricultural Marketing Service, </t>
    </r>
    <r>
      <rPr>
        <i/>
        <sz val="8"/>
        <rFont val="Helvetica"/>
      </rPr>
      <t>National Monthly Feedstuff Prices</t>
    </r>
    <r>
      <rPr>
        <sz val="8"/>
        <rFont val="Helvetica"/>
        <family val="2"/>
      </rPr>
      <t xml:space="preserve"> and USDA, Foreign Agricultural Service, </t>
    </r>
    <r>
      <rPr>
        <i/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</si>
  <si>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r>
      <t xml:space="preserve">Sources: USDA, Economic Research Service using data from USDA, National Agricultural Statistics Service </t>
    </r>
    <r>
      <rPr>
        <i/>
        <sz val="8"/>
        <rFont val="Helvetica"/>
        <family val="2"/>
      </rPr>
      <t xml:space="preserve">Crop Production, Grain Stocks, </t>
    </r>
    <r>
      <rPr>
        <sz val="8"/>
        <rFont val="Helvetica"/>
        <family val="2"/>
      </rPr>
      <t>and</t>
    </r>
    <r>
      <rPr>
        <i/>
        <sz val="8"/>
        <rFont val="Helvetica"/>
        <family val="2"/>
      </rPr>
      <t xml:space="preserve"> Crop Values</t>
    </r>
    <r>
      <rPr>
        <sz val="8"/>
        <rFont val="Helvetica"/>
        <family val="2"/>
      </rPr>
      <t xml:space="preserve"> and USDA, Foreign Agricultural Service,</t>
    </r>
  </si>
  <si>
    <r>
      <t xml:space="preserve"> Global Agricultural Trade System, and Farm Service Agency, </t>
    </r>
    <r>
      <rPr>
        <i/>
        <sz val="8"/>
        <rFont val="Helvetica"/>
      </rPr>
      <t>Nonrecourse Marketing Assistance Loans and Loan Deficiency Payments Fact Sheet.</t>
    </r>
  </si>
  <si>
    <t xml:space="preserve">Sources: USDA, Economic Research Service using data from USDA, National Agricultural Statistics Service,  Oilseed Crushings, Production, Consumption and Stocks </t>
  </si>
  <si>
    <r>
      <t xml:space="preserve">and USDA, Economic Research Service estimates and USDA, Foreign Agricultural Service, </t>
    </r>
    <r>
      <rPr>
        <i/>
        <sz val="8"/>
        <rFont val="Helvetica"/>
      </rPr>
      <t xml:space="preserve">Global Agricultural Trade System </t>
    </r>
    <r>
      <rPr>
        <sz val="8"/>
        <rFont val="Helvetica"/>
        <family val="2"/>
      </rPr>
      <t xml:space="preserve">and </t>
    </r>
    <r>
      <rPr>
        <i/>
        <sz val="8"/>
        <rFont val="Helvetica"/>
      </rPr>
      <t>Milling &amp; Baking News</t>
    </r>
    <r>
      <rPr>
        <sz val="8"/>
        <rFont val="Helvetica"/>
        <family val="2"/>
      </rPr>
      <t>.</t>
    </r>
  </si>
  <si>
    <r>
      <t xml:space="preserve">Sources: USDA, Economic Research Service using data from USDA, National Agricultural Statistics Service,  </t>
    </r>
    <r>
      <rPr>
        <i/>
        <sz val="8"/>
        <rFont val="Helvetica"/>
        <family val="2"/>
      </rPr>
      <t xml:space="preserve">Crop Production, Grain Stocks, </t>
    </r>
    <r>
      <rPr>
        <sz val="8"/>
        <rFont val="Helvetica"/>
        <family val="2"/>
      </rPr>
      <t>and</t>
    </r>
    <r>
      <rPr>
        <i/>
        <sz val="8"/>
        <rFont val="Helvetica"/>
        <family val="2"/>
      </rPr>
      <t xml:space="preserve"> Agricultural Prices,</t>
    </r>
    <r>
      <rPr>
        <sz val="8"/>
        <rFont val="Helvetica"/>
        <family val="2"/>
      </rPr>
      <t xml:space="preserve"> </t>
    </r>
  </si>
  <si>
    <r>
      <t>Sources: USDA, Economic Research Service using data from USDA, National Agricultural Statistics Service, Grain</t>
    </r>
    <r>
      <rPr>
        <i/>
        <sz val="8"/>
        <rFont val="Helvetica"/>
        <family val="2"/>
      </rPr>
      <t xml:space="preserve"> Crushings </t>
    </r>
    <r>
      <rPr>
        <sz val="8"/>
        <rFont val="Helvetica"/>
        <family val="2"/>
      </rPr>
      <t xml:space="preserve">, and USDA, Economic Research Service estimates </t>
    </r>
  </si>
  <si>
    <r>
      <t xml:space="preserve">Sources: USDA, Economic Research Service using data from U.S. Census Bureau, </t>
    </r>
    <r>
      <rPr>
        <i/>
        <sz val="8"/>
        <rFont val="Helvetica"/>
      </rPr>
      <t>Fats and Oils: Production, Consumption and Stocks</t>
    </r>
    <r>
      <rPr>
        <sz val="8"/>
        <rFont val="Helvetica"/>
        <family val="2"/>
      </rPr>
      <t xml:space="preserve">, and </t>
    </r>
  </si>
  <si>
    <r>
      <t xml:space="preserve">USDA, Agricultural Marketing Service, Tallow, Protein, and Hide Report and USDA, Foreign Agricultural Service, </t>
    </r>
    <r>
      <rPr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</si>
  <si>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t>Season-average</t>
  </si>
  <si>
    <t xml:space="preserve">  1/ Forecast.  2/ Includes inedible distillers corn oil.  N.A. = Not available.</t>
  </si>
  <si>
    <t>Food use</t>
  </si>
  <si>
    <t>per capita</t>
  </si>
  <si>
    <t>(shelled basis)</t>
  </si>
  <si>
    <r>
      <rPr>
        <i/>
        <sz val="8"/>
        <rFont val="Helvetica"/>
      </rPr>
      <t>and Stocks</t>
    </r>
    <r>
      <rPr>
        <sz val="8"/>
        <rFont val="Helvetica"/>
      </rPr>
      <t xml:space="preserve"> and USDA, Economic Research Service estimates and USDA, Agricultural Marketing Service, </t>
    </r>
    <r>
      <rPr>
        <i/>
        <sz val="8"/>
        <rFont val="Helvetica"/>
      </rPr>
      <t>National Monthly Feedstuff Prices</t>
    </r>
    <r>
      <rPr>
        <sz val="8"/>
        <rFont val="Helvetica"/>
      </rPr>
      <t xml:space="preserve"> and USDA, </t>
    </r>
  </si>
  <si>
    <r>
      <t xml:space="preserve">Sources: USDA, Economic Research Service using data from USDA, National Agricultural Statistics Service,  </t>
    </r>
    <r>
      <rPr>
        <i/>
        <sz val="8"/>
        <rFont val="Helvetica"/>
      </rPr>
      <t xml:space="preserve">Oilseed Crushings, Production, Consumption </t>
    </r>
  </si>
  <si>
    <t xml:space="preserve">will not balance because of differences in local marketing years and time lags between reported exports and imports. Therefore, world supply may not equal world use. </t>
  </si>
  <si>
    <t xml:space="preserve"> 5/ Estimated.  6/ Projected.</t>
  </si>
  <si>
    <t>2017/18</t>
  </si>
  <si>
    <t>2017 2/</t>
  </si>
  <si>
    <t>2017  2/</t>
  </si>
  <si>
    <t>2017  1/</t>
  </si>
  <si>
    <t>2017/18  1/</t>
  </si>
  <si>
    <t>2017/18 1/</t>
  </si>
  <si>
    <t xml:space="preserve">2016/17 </t>
  </si>
  <si>
    <t xml:space="preserve">2015/16  </t>
  </si>
  <si>
    <t>Last updated: March 30, 2018</t>
  </si>
  <si>
    <t>Table 32--Corn oil:  Supply, disappearance, and price, U.S., 1980/81-2017/18</t>
  </si>
  <si>
    <t>----------------------Cents/lb.----------------------</t>
  </si>
  <si>
    <t>-----------1,000 acres------------</t>
  </si>
  <si>
    <t>---------------------------------------------------------- Million pounds----------------------------------------------------------</t>
  </si>
  <si>
    <t>------1,000 acres--------</t>
  </si>
  <si>
    <t>-------------Dollars-------------</t>
  </si>
  <si>
    <t>--------Dollars--------</t>
  </si>
  <si>
    <t>Dollars</t>
  </si>
  <si>
    <t>--------Percent---------</t>
  </si>
  <si>
    <t>2001</t>
  </si>
  <si>
    <t>2002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</si>
  <si>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</si>
  <si>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</si>
  <si>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</si>
  <si>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</si>
  <si>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</si>
  <si>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</si>
  <si>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</si>
  <si>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</si>
  <si>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</si>
  <si>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</si>
  <si>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</si>
  <si>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</si>
  <si>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</si>
  <si>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r>
      <t>USDA, Foreign Agricultural Service, Global Agricultural Trade System</t>
    </r>
    <r>
      <rPr>
        <i/>
        <sz val="8"/>
        <rFont val="Helvetica"/>
      </rPr>
      <t xml:space="preserve"> </t>
    </r>
    <r>
      <rPr>
        <sz val="8"/>
        <rFont val="Helvetica"/>
      </rPr>
      <t>and Farm Service Agency,</t>
    </r>
    <r>
      <rPr>
        <i/>
        <sz val="8"/>
        <rFont val="Helvetica"/>
      </rPr>
      <t xml:space="preserve"> Nonrecourse Marketing Assistance Loans and Loan Deficiency Payments </t>
    </r>
  </si>
  <si>
    <r>
      <rPr>
        <i/>
        <sz val="8"/>
        <rFont val="Helvetica"/>
      </rPr>
      <t>Fact Sheet</t>
    </r>
    <r>
      <rPr>
        <sz val="8"/>
        <rFont val="Helvetica"/>
      </rPr>
      <t>.</t>
    </r>
  </si>
  <si>
    <t>--------------------------------------------------Million pounds, rendered basis------------------------------------------------</t>
  </si>
  <si>
    <t>----------------------------------------------------------------Million pounds-----------------------------------------------------------</t>
  </si>
  <si>
    <t xml:space="preserve">  N.A. = Not available.   1/ Loose, average wholesale, Chicago.  </t>
  </si>
  <si>
    <t>Created February 25, 2019</t>
  </si>
  <si>
    <t>Table 1--Soybean stocks:  On-farm, off-farm, and total U.S., by quarter, 1999/00-2018/19</t>
  </si>
  <si>
    <t>Table 2--Soybeans:  Acreage planted, harvested, yield, production, value, and loan rate, U.S., 1960-2018</t>
  </si>
  <si>
    <t>Table 3--Soybeans:  Supply, disappearance, and price, U.S., 1980/81-2018/19</t>
  </si>
  <si>
    <t>Table 4--Soybean meal:  Supply, disappearance, and price, U.S., 1980/81-2018/19</t>
  </si>
  <si>
    <t>Table 5--Soybean oil:  Supply, disappearance, and price, U.S., 1980/81-2018/19</t>
  </si>
  <si>
    <t>Table 6--Soybeans: U.S. supply and disappearance, by crop year quarter, 2000/01-2018/19</t>
  </si>
  <si>
    <t>Table 7--Soybean meal:  Supply and disappearance, by month, U.S., 2007/08-2018/19</t>
  </si>
  <si>
    <t>Table 8--Soybean oil:  Supply and disappearance, by month, U.S., 2007/08-2018/19</t>
  </si>
  <si>
    <t>Table 9--Soybeans: Monthly value of products per bushel of soybeans processed, and spot price spread, U.S., 1990/91-2018/19</t>
  </si>
  <si>
    <t>Table 10--Peanuts:  Acreage planted, harvested, yield, production,  and  value, U.S., 1980-2018</t>
  </si>
  <si>
    <t>Table 11--Peanuts (farmers' stock basis):  Supply, disappearance, and price, U.S., 1980/81-2018/19</t>
  </si>
  <si>
    <t>Table 12--Peanuts:  Planted acreage, by State and region, 1980-2018</t>
  </si>
  <si>
    <t>Table 13--Peanuts:  Harvested acreage, by State and region, 1980-2018</t>
  </si>
  <si>
    <t>Table 14--Peanuts:  U.S. production, by State and region, 1980-2018</t>
  </si>
  <si>
    <t>Table 15--Peanuts:  Yield per harvested acre, by State and region, 1980-2018</t>
  </si>
  <si>
    <t>2018/19</t>
  </si>
  <si>
    <t>2018 2/</t>
  </si>
  <si>
    <t>2018  2/</t>
  </si>
  <si>
    <t>2018  1/</t>
  </si>
  <si>
    <t>2018 5/</t>
  </si>
  <si>
    <t>2018/19 2/</t>
  </si>
  <si>
    <t>2018 1/</t>
  </si>
  <si>
    <t>2018/19  1/</t>
  </si>
  <si>
    <t>Table 16--Cottonseed:  Acreage planted, harvested, yield, production, and value, U.S., 1980-2018</t>
  </si>
  <si>
    <t>Table 17--Cottonseed:  Supply, disappearance, and price, U.S., 1980/81-2018/19</t>
  </si>
  <si>
    <t>Table 18--Cottonseed meal:  Supply, disappearance, and price, U.S., 1980/81-2018/19</t>
  </si>
  <si>
    <t>Table 19--Cottonseed oil:  Supply, disappearance, and price, U.S., 1980/81-2018/19</t>
  </si>
  <si>
    <t>2018/19 1/</t>
  </si>
  <si>
    <t xml:space="preserve">2017/18 </t>
  </si>
  <si>
    <t>Table 20--Sunflowerseed: Acreage planted, harvested, yield, production, and value, U.S., 1980-2018</t>
  </si>
  <si>
    <t>Table 21--Sunflowerseed:  Supply, disappearance, and price, U.S., 1980/81-2018/19</t>
  </si>
  <si>
    <t>Table 22--Sunflowerseed meal:  Supply, disappearance, and price, U.S., 1980/81-2018/19</t>
  </si>
  <si>
    <t>Table 23--Sunflowerseed oil:  Supply, disappearance, and price, U.S., 1980/81-2018/19</t>
  </si>
  <si>
    <t>Table 24--Canola seed:  Acreage planted, harvested, yield, supply, disappearance, and value, U.S., 1991/92-2018/19</t>
  </si>
  <si>
    <t>Table 25--Canola oil:  Supply and disappearance, U.S., 1991/92-2018/19</t>
  </si>
  <si>
    <t>Table 26--Canola meal:  Supply and disappearance, U.S., 1991/92-2018/19</t>
  </si>
  <si>
    <t>Table 27--Flaxseed:  Acreage planted, harvested, yield, production, and value, U.S., 1980-2018</t>
  </si>
  <si>
    <t>Table 28--Flaxseed: Supply, disappearance, and price, U.S., 1980/81-2018/19</t>
  </si>
  <si>
    <t>Table 29--Linseed meal:  Supply disappearance and price, U.S., 1980/81-2018/19</t>
  </si>
  <si>
    <t>Table 30--Linseed oil:  Supply, disappearance, and price, U.S., 1980/81-2018/19</t>
  </si>
  <si>
    <t xml:space="preserve"> 2018 1/</t>
  </si>
  <si>
    <t>Table 31--Edible fats and oils: U.S. Supply and disappearance, 2003/04-2018/19</t>
  </si>
  <si>
    <t>Table 33--Prices:  Farm, wholesale, and index numbers of wholesale prices, by month, 2012-2018--Continued</t>
  </si>
  <si>
    <t>Table 33--Prices:  Farm, wholesale, and index numbers of wholesale prices, by month, 2012-2018</t>
  </si>
  <si>
    <t>Table 33--Prices:  Farm, wholesale, and index numbers of wholesale prices, by month, 2012-18</t>
  </si>
  <si>
    <t>2017/18  5/</t>
  </si>
  <si>
    <t>2018/19  6/</t>
  </si>
  <si>
    <t xml:space="preserve">2016/17  </t>
  </si>
  <si>
    <t>2018/19  2/</t>
  </si>
  <si>
    <t>8.10-9.10</t>
  </si>
  <si>
    <t>295-335</t>
  </si>
  <si>
    <t>28.5-31.5</t>
  </si>
  <si>
    <t>20.70-22.30</t>
  </si>
  <si>
    <t>135-175</t>
  </si>
  <si>
    <t>225-265</t>
  </si>
  <si>
    <t>33.0-36.0</t>
  </si>
  <si>
    <t>16.3-17.9</t>
  </si>
  <si>
    <t>160-200</t>
  </si>
  <si>
    <t>53.0-57.0</t>
  </si>
  <si>
    <t>15.55-17.1</t>
  </si>
  <si>
    <t>38.0-41.0</t>
  </si>
  <si>
    <t>265-305</t>
  </si>
  <si>
    <t>9.25-10.25</t>
  </si>
  <si>
    <t>195-235</t>
  </si>
  <si>
    <t>88.0-92.0</t>
  </si>
  <si>
    <t>26.5-29.5</t>
  </si>
  <si>
    <t>22.5-25.5</t>
  </si>
  <si>
    <t>Table 34--Lard:  Supply, disappearance, and price, U.S., 1980-2018</t>
  </si>
  <si>
    <t>Table 35--Edible tallow:  Supply, disappearance, and price, U.S., 1980-2018</t>
  </si>
  <si>
    <t>Table 36--Supply and use: Soybeans, soybean meal, and soybean oil, U.S., major foreign exporters, importers, and world, 2014/15-2017/18 1/</t>
  </si>
  <si>
    <t>Table 34-Lard:  Supply, disappearance, and price, U.S., 1980-2018</t>
  </si>
  <si>
    <t>Last updated: March 29, 2019</t>
  </si>
  <si>
    <t xml:space="preserve">2017 </t>
  </si>
  <si>
    <t xml:space="preserve">2017/18  </t>
  </si>
  <si>
    <t>Table 26--Canola meal:  Supply, disappearance and price, U.S., 1991/92-2018/19</t>
  </si>
  <si>
    <t>Table 31--Edible fats and oils: U.S. Supply and disappearance, 2004/05-2018/19</t>
  </si>
  <si>
    <t>Table 32--Corn oil:  Supply, disappearance, and price, U.S., 1980/81-2018/19</t>
  </si>
  <si>
    <t>Country/region 1/</t>
  </si>
  <si>
    <t>Mexico</t>
  </si>
  <si>
    <t>Philippines</t>
  </si>
  <si>
    <t>Japan</t>
  </si>
  <si>
    <t>Indonesia</t>
  </si>
  <si>
    <t>Egypt</t>
  </si>
  <si>
    <t>Thailand</t>
  </si>
  <si>
    <t>Guatemala</t>
  </si>
  <si>
    <t>Malaysia</t>
  </si>
  <si>
    <t>Peru</t>
  </si>
  <si>
    <t>Bangladesh</t>
  </si>
  <si>
    <t>Colombia</t>
  </si>
  <si>
    <t>Ecuador</t>
  </si>
  <si>
    <t>Honduras</t>
  </si>
  <si>
    <t>Dominican Republic</t>
  </si>
  <si>
    <t>Vietnam</t>
  </si>
  <si>
    <t>El Salvador</t>
  </si>
  <si>
    <t>Venezuela</t>
  </si>
  <si>
    <t>All other countries</t>
  </si>
  <si>
    <t>Date run: 8/13/2019</t>
  </si>
  <si>
    <t>1/ Market year is September-August.
Source: U.S. Department of Commerce, Bureau of the Census, Foreign Trade Statistics.</t>
  </si>
  <si>
    <t>Table 37--U.S. soybean exports by selected destinations (1,000 metric tons)</t>
  </si>
  <si>
    <t>Table 40--World oilseed supply and distribution, 2012/13-2018/19</t>
  </si>
  <si>
    <t>Table 41--World vegetable oils supply and distribution, 2012/13-2018/19</t>
  </si>
  <si>
    <t>Table 42--World protein meal supply and distribution, 2012/13-2018/19</t>
  </si>
  <si>
    <t>Table 38--U.S. soybean meal exports by selected destinations (1,000 metric tons)</t>
  </si>
  <si>
    <t>Table 39--U.S. soybean oil exports by selected destinations (1,000 metric tons)</t>
  </si>
  <si>
    <t>China</t>
  </si>
  <si>
    <t>Netherlands</t>
  </si>
  <si>
    <t>Taiwan</t>
  </si>
  <si>
    <t>Pakistan</t>
  </si>
  <si>
    <t>Germany(*)</t>
  </si>
  <si>
    <t>Spain</t>
  </si>
  <si>
    <t>Korea, South</t>
  </si>
  <si>
    <t>Iran</t>
  </si>
  <si>
    <t>Turkey</t>
  </si>
  <si>
    <t>Canada</t>
  </si>
  <si>
    <t>Tunisia</t>
  </si>
  <si>
    <t>Italy(*)</t>
  </si>
  <si>
    <t>Costa Rica</t>
  </si>
  <si>
    <t>Portugal</t>
  </si>
  <si>
    <t>1/ Market year is October-September.
Source: U.S. Department of Commerce, Bureau of the Census, Foreign Trade Statistics.</t>
  </si>
  <si>
    <t>Morocco</t>
  </si>
  <si>
    <t>Panama</t>
  </si>
  <si>
    <t>Sri Lanka</t>
  </si>
  <si>
    <t>Burma</t>
  </si>
  <si>
    <t>Jamaica</t>
  </si>
  <si>
    <t>Nicaragua</t>
  </si>
  <si>
    <t>Saudi Arabia</t>
  </si>
  <si>
    <t>Trinidad and Tobago</t>
  </si>
  <si>
    <t>Senegal</t>
  </si>
  <si>
    <t>Cuba</t>
  </si>
  <si>
    <t>Mozambique</t>
  </si>
  <si>
    <t>United Arab Emirates</t>
  </si>
  <si>
    <t>Bahamas, The</t>
  </si>
  <si>
    <t>Kuwait</t>
  </si>
  <si>
    <t xml:space="preserve"> Paraguay, and Uruguay for soybeans plus India for soybean meal and EU for soybean oil.  3/ EU, China, Japan, Mexico, Southeast Asia.  4/ World imports and exports </t>
  </si>
  <si>
    <t xml:space="preserve">Updates of this data, and data covering more years and countries, can be found at the ERS website, Oil Crops Yearbook.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</si>
</sst>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&quot;$&quot;#,##0_);[Red]\(&quot;$&quot;#,##0\)"/>
    <numFmt numFmtId="43" formatCode="_(* #,##0.00_);_(* \(#,##0.00\);_(* &quot;-&quot;??_);_(@_)"/>
    <numFmt numFmtId="164" formatCode="#,##0___________)"/>
    <numFmt numFmtId="165" formatCode="#,##0___________________)"/>
    <numFmt numFmtId="166" formatCode="#,##0_______)"/>
    <numFmt numFmtId="167" formatCode="#,##0_________)"/>
    <numFmt numFmtId="168" formatCode="#,##0.0___________)"/>
    <numFmt numFmtId="169" formatCode="#,##0_)"/>
    <numFmt numFmtId="170" formatCode="#,##0___)"/>
    <numFmt numFmtId="171" formatCode="#,##0_______________)"/>
    <numFmt numFmtId="172" formatCode="#,##0_____)"/>
    <numFmt numFmtId="173" formatCode="#,##0.0___)"/>
    <numFmt numFmtId="174" formatCode="#,##0.0_)"/>
    <numFmt numFmtId="175" formatCode="#,##0.00___________)"/>
    <numFmt numFmtId="176" formatCode="#,##0.00_______)"/>
    <numFmt numFmtId="177" formatCode="#,##0.0_______________)"/>
    <numFmt numFmtId="178" formatCode="#,##0.00___)"/>
    <numFmt numFmtId="179" formatCode="#,##0.00_____)"/>
    <numFmt numFmtId="180" formatCode="#,##0.0_______)"/>
    <numFmt numFmtId="181" formatCode="#,##0.00_)"/>
    <numFmt numFmtId="182" formatCode="#,##0.00_________)"/>
    <numFmt numFmtId="183" formatCode="#,##0.00_____________)"/>
    <numFmt numFmtId="184" formatCode="_(* #,##0_);_(* \(#,##0\);_(* &quot;-&quot;??_);_(@_)"/>
    <numFmt numFmtId="185" formatCode="0.0"/>
    <numFmt numFmtId="186" formatCode="#,##0.0_);\(#,##0.0\)"/>
    <numFmt numFmtId="187" formatCode="0.00_)"/>
    <numFmt numFmtId="188" formatCode="#,##0.0"/>
    <numFmt numFmtId="189" formatCode="[$-10409]###,###"/>
  </numFmts>
  <fonts count="50">
    <font>
      <sz val="8"/>
      <name val="Helvetica"/>
    </font>
    <font>
      <sz val="11"/>
      <color theme="1"/>
      <name val="Calibri"/>
      <family val="2"/>
      <scheme val="minor"/>
    </font>
    <font>
      <sz val="8"/>
      <name val="Helvetica"/>
    </font>
    <font>
      <sz val="7"/>
      <name val="Helvetica"/>
      <family val="2"/>
    </font>
    <font>
      <i/>
      <sz val="7"/>
      <name val="Helvetica"/>
      <family val="2"/>
    </font>
    <font>
      <sz val="8"/>
      <name val="Helvetica-Narrow"/>
      <family val="2"/>
    </font>
    <font>
      <sz val="8"/>
      <name val="Helvetica"/>
      <family val="2"/>
    </font>
    <font>
      <i/>
      <sz val="8"/>
      <name val="Helvetica"/>
      <family val="2"/>
    </font>
    <font>
      <u/>
      <sz val="8"/>
      <color indexed="12"/>
      <name val="Helvetica"/>
      <family val="2"/>
    </font>
    <font>
      <vertAlign val="superscript"/>
      <sz val="8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Helvetica"/>
    </font>
    <font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4"/>
      <name val="Helvetica"/>
    </font>
    <font>
      <b/>
      <sz val="10"/>
      <name val="Arial"/>
      <family val="2"/>
    </font>
    <font>
      <i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name val="Courier"/>
    </font>
    <font>
      <u/>
      <sz val="10"/>
      <color indexed="12"/>
      <name val="Courier"/>
      <family val="3"/>
    </font>
    <font>
      <sz val="10"/>
      <name val="Arial"/>
      <family val="2"/>
    </font>
    <font>
      <sz val="9"/>
      <color indexed="8"/>
      <name val="Times New Roman"/>
      <family val="1"/>
    </font>
    <font>
      <sz val="8"/>
      <color rgb="FF000000"/>
      <name val="Arial"/>
      <family val="2"/>
    </font>
    <font>
      <sz val="11"/>
      <name val="Calibri"/>
      <family val="2"/>
    </font>
    <font>
      <i/>
      <sz val="8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7" applyNumberFormat="0" applyAlignment="0" applyProtection="0"/>
    <xf numFmtId="0" fontId="33" fillId="6" borderId="8" applyNumberFormat="0" applyAlignment="0" applyProtection="0"/>
    <xf numFmtId="0" fontId="34" fillId="6" borderId="7" applyNumberFormat="0" applyAlignment="0" applyProtection="0"/>
    <xf numFmtId="0" fontId="35" fillId="0" borderId="9" applyNumberFormat="0" applyFill="0" applyAlignment="0" applyProtection="0"/>
    <xf numFmtId="0" fontId="36" fillId="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  <xf numFmtId="187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37" fontId="4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8" borderId="11" applyNumberFormat="0" applyFont="0" applyAlignment="0" applyProtection="0"/>
    <xf numFmtId="0" fontId="45" fillId="0" borderId="0"/>
  </cellStyleXfs>
  <cellXfs count="408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7" fontId="0" fillId="0" borderId="0" xfId="0" applyNumberFormat="1"/>
    <xf numFmtId="167" fontId="0" fillId="0" borderId="1" xfId="0" applyNumberFormat="1" applyBorder="1"/>
    <xf numFmtId="168" fontId="0" fillId="0" borderId="1" xfId="0" applyNumberFormat="1" applyBorder="1"/>
    <xf numFmtId="169" fontId="0" fillId="0" borderId="0" xfId="0" applyNumberFormat="1"/>
    <xf numFmtId="169" fontId="0" fillId="0" borderId="1" xfId="0" applyNumberFormat="1" applyBorder="1"/>
    <xf numFmtId="170" fontId="0" fillId="0" borderId="0" xfId="0" applyNumberFormat="1"/>
    <xf numFmtId="170" fontId="0" fillId="0" borderId="1" xfId="0" applyNumberFormat="1" applyBorder="1"/>
    <xf numFmtId="171" fontId="0" fillId="0" borderId="0" xfId="0" applyNumberFormat="1"/>
    <xf numFmtId="171" fontId="0" fillId="0" borderId="1" xfId="0" applyNumberFormat="1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72" fontId="0" fillId="0" borderId="0" xfId="0" applyNumberFormat="1"/>
    <xf numFmtId="172" fontId="0" fillId="0" borderId="1" xfId="0" applyNumberFormat="1" applyBorder="1"/>
    <xf numFmtId="173" fontId="0" fillId="0" borderId="0" xfId="0" applyNumberFormat="1"/>
    <xf numFmtId="17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176" fontId="0" fillId="0" borderId="0" xfId="0" applyNumberFormat="1"/>
    <xf numFmtId="177" fontId="0" fillId="0" borderId="0" xfId="0" applyNumberFormat="1"/>
    <xf numFmtId="179" fontId="0" fillId="0" borderId="0" xfId="0" applyNumberFormat="1"/>
    <xf numFmtId="179" fontId="0" fillId="0" borderId="1" xfId="0" applyNumberFormat="1" applyBorder="1"/>
    <xf numFmtId="0" fontId="0" fillId="0" borderId="0" xfId="0" applyBorder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0" fillId="0" borderId="0" xfId="0" applyBorder="1"/>
    <xf numFmtId="180" fontId="0" fillId="0" borderId="0" xfId="0" applyNumberFormat="1"/>
    <xf numFmtId="178" fontId="0" fillId="0" borderId="0" xfId="0" applyNumberFormat="1"/>
    <xf numFmtId="178" fontId="0" fillId="0" borderId="1" xfId="0" applyNumberFormat="1" applyBorder="1"/>
    <xf numFmtId="178" fontId="0" fillId="0" borderId="0" xfId="0" applyNumberFormat="1" applyBorder="1"/>
    <xf numFmtId="175" fontId="0" fillId="0" borderId="0" xfId="0" applyNumberFormat="1"/>
    <xf numFmtId="180" fontId="0" fillId="0" borderId="1" xfId="0" applyNumberFormat="1" applyBorder="1"/>
    <xf numFmtId="0" fontId="0" fillId="0" borderId="0" xfId="0" quotePrefix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2" xfId="0" quotePrefix="1" applyBorder="1" applyAlignment="1">
      <alignment horizontal="center"/>
    </xf>
    <xf numFmtId="0" fontId="3" fillId="0" borderId="0" xfId="0" quotePrefix="1" applyFont="1" applyAlignment="1">
      <alignment horizontal="left"/>
    </xf>
    <xf numFmtId="178" fontId="2" fillId="0" borderId="0" xfId="0" applyNumberFormat="1" applyFont="1"/>
    <xf numFmtId="175" fontId="0" fillId="0" borderId="0" xfId="0" applyNumberFormat="1" applyBorder="1"/>
    <xf numFmtId="183" fontId="0" fillId="0" borderId="0" xfId="0" applyNumberFormat="1"/>
    <xf numFmtId="167" fontId="0" fillId="0" borderId="0" xfId="0" applyNumberFormat="1" applyBorder="1"/>
    <xf numFmtId="187" fontId="0" fillId="0" borderId="0" xfId="0" applyNumberFormat="1" applyProtection="1"/>
    <xf numFmtId="172" fontId="0" fillId="0" borderId="0" xfId="0" applyNumberFormat="1" applyBorder="1"/>
    <xf numFmtId="2" fontId="0" fillId="0" borderId="0" xfId="0" applyNumberFormat="1" applyAlignment="1">
      <alignment horizontal="center"/>
    </xf>
    <xf numFmtId="183" fontId="0" fillId="0" borderId="1" xfId="0" applyNumberFormat="1" applyBorder="1"/>
    <xf numFmtId="181" fontId="0" fillId="0" borderId="0" xfId="0" applyNumberFormat="1"/>
    <xf numFmtId="0" fontId="4" fillId="0" borderId="0" xfId="0" applyFont="1"/>
    <xf numFmtId="180" fontId="0" fillId="0" borderId="1" xfId="0" applyNumberFormat="1" applyBorder="1" applyAlignment="1"/>
    <xf numFmtId="185" fontId="0" fillId="0" borderId="0" xfId="0" applyNumberFormat="1"/>
    <xf numFmtId="165" fontId="0" fillId="0" borderId="0" xfId="0" applyNumberFormat="1" applyBorder="1"/>
    <xf numFmtId="0" fontId="0" fillId="0" borderId="0" xfId="0" applyBorder="1" applyAlignment="1">
      <alignment horizontal="left"/>
    </xf>
    <xf numFmtId="168" fontId="0" fillId="0" borderId="0" xfId="0" applyNumberFormat="1" applyBorder="1"/>
    <xf numFmtId="183" fontId="0" fillId="0" borderId="0" xfId="0" applyNumberFormat="1" applyBorder="1"/>
    <xf numFmtId="0" fontId="0" fillId="0" borderId="0" xfId="0" quotePrefix="1" applyBorder="1" applyAlignment="1">
      <alignment horizontal="left"/>
    </xf>
    <xf numFmtId="171" fontId="0" fillId="0" borderId="0" xfId="0" applyNumberFormat="1" applyBorder="1"/>
    <xf numFmtId="170" fontId="0" fillId="0" borderId="0" xfId="0" applyNumberFormat="1" applyBorder="1"/>
    <xf numFmtId="173" fontId="0" fillId="0" borderId="0" xfId="0" applyNumberFormat="1" applyBorder="1"/>
    <xf numFmtId="174" fontId="0" fillId="0" borderId="0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177" fontId="0" fillId="0" borderId="0" xfId="0" applyNumberFormat="1" applyBorder="1"/>
    <xf numFmtId="179" fontId="0" fillId="0" borderId="0" xfId="0" applyNumberFormat="1" applyBorder="1"/>
    <xf numFmtId="166" fontId="0" fillId="0" borderId="0" xfId="0" applyNumberFormat="1" applyBorder="1"/>
    <xf numFmtId="176" fontId="0" fillId="0" borderId="0" xfId="0" applyNumberFormat="1" applyBorder="1"/>
    <xf numFmtId="180" fontId="0" fillId="0" borderId="0" xfId="0" applyNumberFormat="1" applyBorder="1"/>
    <xf numFmtId="180" fontId="0" fillId="0" borderId="0" xfId="0" applyNumberFormat="1" applyBorder="1" applyAlignment="1"/>
    <xf numFmtId="2" fontId="0" fillId="0" borderId="0" xfId="0" applyNumberFormat="1"/>
    <xf numFmtId="3" fontId="0" fillId="0" borderId="1" xfId="0" applyNumberFormat="1" applyBorder="1" applyAlignment="1">
      <alignment horizontal="center"/>
    </xf>
    <xf numFmtId="173" fontId="0" fillId="0" borderId="0" xfId="0" applyNumberFormat="1" applyFill="1" applyBorder="1"/>
    <xf numFmtId="0" fontId="0" fillId="0" borderId="1" xfId="0" quotePrefix="1" applyBorder="1" applyAlignment="1">
      <alignment horizontal="center"/>
    </xf>
    <xf numFmtId="188" fontId="0" fillId="0" borderId="1" xfId="0" quotePrefix="1" applyNumberFormat="1" applyBorder="1" applyAlignment="1">
      <alignment horizontal="center"/>
    </xf>
    <xf numFmtId="188" fontId="0" fillId="0" borderId="0" xfId="0" quotePrefix="1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65" fontId="0" fillId="0" borderId="1" xfId="0" applyNumberFormat="1" applyBorder="1"/>
    <xf numFmtId="185" fontId="5" fillId="0" borderId="0" xfId="0" applyNumberFormat="1" applyFont="1" applyBorder="1" applyAlignment="1">
      <alignment horizontal="right"/>
    </xf>
    <xf numFmtId="185" fontId="5" fillId="0" borderId="1" xfId="0" applyNumberFormat="1" applyFont="1" applyBorder="1" applyAlignment="1">
      <alignment horizontal="center"/>
    </xf>
    <xf numFmtId="185" fontId="5" fillId="0" borderId="0" xfId="0" applyNumberFormat="1" applyFont="1" applyAlignment="1">
      <alignment horizontal="center"/>
    </xf>
    <xf numFmtId="187" fontId="0" fillId="0" borderId="0" xfId="0" applyNumberFormat="1" applyBorder="1" applyProtection="1"/>
    <xf numFmtId="173" fontId="0" fillId="0" borderId="0" xfId="0" applyNumberFormat="1" applyBorder="1" applyAlignment="1">
      <alignment horizontal="center"/>
    </xf>
    <xf numFmtId="167" fontId="0" fillId="0" borderId="0" xfId="0" applyNumberFormat="1" applyFill="1" applyBorder="1"/>
    <xf numFmtId="166" fontId="6" fillId="0" borderId="0" xfId="0" applyNumberFormat="1" applyFont="1"/>
    <xf numFmtId="172" fontId="6" fillId="0" borderId="0" xfId="0" applyNumberFormat="1" applyFont="1"/>
    <xf numFmtId="166" fontId="6" fillId="0" borderId="0" xfId="0" applyNumberFormat="1" applyFont="1" applyBorder="1"/>
    <xf numFmtId="172" fontId="6" fillId="0" borderId="0" xfId="0" applyNumberFormat="1" applyFont="1" applyBorder="1"/>
    <xf numFmtId="166" fontId="6" fillId="0" borderId="1" xfId="0" applyNumberFormat="1" applyFont="1" applyBorder="1"/>
    <xf numFmtId="172" fontId="6" fillId="0" borderId="1" xfId="0" applyNumberFormat="1" applyFont="1" applyBorder="1"/>
    <xf numFmtId="164" fontId="6" fillId="0" borderId="0" xfId="0" applyNumberFormat="1" applyFont="1"/>
    <xf numFmtId="167" fontId="6" fillId="0" borderId="0" xfId="0" applyNumberFormat="1" applyFont="1"/>
    <xf numFmtId="164" fontId="6" fillId="0" borderId="0" xfId="0" applyNumberFormat="1" applyFont="1" applyBorder="1"/>
    <xf numFmtId="167" fontId="6" fillId="0" borderId="0" xfId="0" applyNumberFormat="1" applyFont="1" applyBorder="1"/>
    <xf numFmtId="164" fontId="6" fillId="0" borderId="1" xfId="0" applyNumberFormat="1" applyFont="1" applyBorder="1"/>
    <xf numFmtId="167" fontId="6" fillId="0" borderId="1" xfId="0" applyNumberFormat="1" applyFont="1" applyBorder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3" fontId="6" fillId="0" borderId="1" xfId="0" applyNumberFormat="1" applyFont="1" applyBorder="1"/>
    <xf numFmtId="170" fontId="6" fillId="0" borderId="0" xfId="0" applyNumberFormat="1" applyFont="1" applyBorder="1"/>
    <xf numFmtId="170" fontId="6" fillId="0" borderId="0" xfId="0" applyNumberFormat="1" applyFont="1"/>
    <xf numFmtId="173" fontId="6" fillId="0" borderId="0" xfId="0" applyNumberFormat="1" applyFont="1" applyBorder="1"/>
    <xf numFmtId="170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Border="1" applyAlignment="1">
      <alignment horizontal="left"/>
    </xf>
    <xf numFmtId="174" fontId="6" fillId="0" borderId="0" xfId="0" applyNumberFormat="1" applyFont="1"/>
    <xf numFmtId="173" fontId="6" fillId="0" borderId="0" xfId="0" applyNumberFormat="1" applyFont="1" applyFill="1" applyBorder="1"/>
    <xf numFmtId="0" fontId="6" fillId="0" borderId="1" xfId="0" applyFont="1" applyBorder="1" applyAlignment="1">
      <alignment horizontal="left"/>
    </xf>
    <xf numFmtId="173" fontId="6" fillId="0" borderId="1" xfId="0" applyNumberFormat="1" applyFont="1" applyBorder="1"/>
    <xf numFmtId="174" fontId="6" fillId="0" borderId="0" xfId="0" applyNumberFormat="1" applyFont="1" applyBorder="1"/>
    <xf numFmtId="0" fontId="0" fillId="0" borderId="0" xfId="0" applyFill="1" applyBorder="1" applyAlignment="1">
      <alignment horizontal="center"/>
    </xf>
    <xf numFmtId="3" fontId="6" fillId="0" borderId="0" xfId="0" applyNumberFormat="1" applyFont="1" applyBorder="1"/>
    <xf numFmtId="0" fontId="0" fillId="0" borderId="0" xfId="0" quotePrefix="1"/>
    <xf numFmtId="177" fontId="0" fillId="0" borderId="1" xfId="0" applyNumberFormat="1" applyBorder="1"/>
    <xf numFmtId="184" fontId="6" fillId="0" borderId="0" xfId="1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quotePrefix="1" applyNumberFormat="1" applyAlignment="1">
      <alignment horizontal="center"/>
    </xf>
    <xf numFmtId="178" fontId="2" fillId="0" borderId="0" xfId="0" applyNumberFormat="1" applyFont="1" applyBorder="1"/>
    <xf numFmtId="0" fontId="6" fillId="0" borderId="0" xfId="0" quotePrefix="1" applyFont="1" applyBorder="1" applyAlignment="1">
      <alignment horizontal="left"/>
    </xf>
    <xf numFmtId="185" fontId="0" fillId="0" borderId="1" xfId="0" applyNumberFormat="1" applyBorder="1"/>
    <xf numFmtId="176" fontId="6" fillId="0" borderId="0" xfId="0" applyNumberFormat="1" applyFont="1"/>
    <xf numFmtId="167" fontId="0" fillId="0" borderId="0" xfId="0" applyNumberFormat="1" applyBorder="1" applyAlignment="1">
      <alignment horizontal="center"/>
    </xf>
    <xf numFmtId="186" fontId="0" fillId="0" borderId="0" xfId="0" applyNumberFormat="1"/>
    <xf numFmtId="0" fontId="7" fillId="0" borderId="0" xfId="0" applyFont="1"/>
    <xf numFmtId="0" fontId="6" fillId="0" borderId="0" xfId="0" quotePrefix="1" applyFont="1"/>
    <xf numFmtId="0" fontId="6" fillId="0" borderId="1" xfId="0" quotePrefix="1" applyFont="1" applyBorder="1" applyAlignment="1">
      <alignment horizontal="left"/>
    </xf>
    <xf numFmtId="187" fontId="0" fillId="0" borderId="0" xfId="0" applyNumberFormat="1"/>
    <xf numFmtId="0" fontId="6" fillId="0" borderId="1" xfId="4" applyBorder="1"/>
    <xf numFmtId="0" fontId="6" fillId="0" borderId="0" xfId="4"/>
    <xf numFmtId="181" fontId="6" fillId="0" borderId="0" xfId="4" applyNumberFormat="1"/>
    <xf numFmtId="185" fontId="6" fillId="0" borderId="0" xfId="4" applyNumberFormat="1"/>
    <xf numFmtId="164" fontId="0" fillId="0" borderId="0" xfId="0" applyNumberFormat="1" applyBorder="1" applyAlignment="1">
      <alignment horizontal="center"/>
    </xf>
    <xf numFmtId="0" fontId="6" fillId="0" borderId="0" xfId="0" quotePrefix="1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left"/>
    </xf>
    <xf numFmtId="172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quotePrefix="1" applyBorder="1"/>
    <xf numFmtId="16" fontId="0" fillId="0" borderId="1" xfId="0" quotePrefix="1" applyNumberFormat="1" applyBorder="1"/>
    <xf numFmtId="0" fontId="6" fillId="0" borderId="0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Font="1"/>
    <xf numFmtId="185" fontId="5" fillId="0" borderId="0" xfId="0" applyNumberFormat="1" applyFont="1" applyFill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4" applyFont="1" applyAlignment="1" applyProtection="1">
      <alignment horizontal="right" vertical="top" wrapText="1" readingOrder="1"/>
      <protection locked="0"/>
    </xf>
    <xf numFmtId="0" fontId="6" fillId="0" borderId="0" xfId="4" applyAlignment="1">
      <alignment readingOrder="1"/>
    </xf>
    <xf numFmtId="0" fontId="15" fillId="0" borderId="0" xfId="4" quotePrefix="1" applyFont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right"/>
    </xf>
    <xf numFmtId="0" fontId="17" fillId="0" borderId="0" xfId="5" applyFont="1" applyBorder="1" applyAlignment="1">
      <alignment vertical="top" wrapText="1"/>
    </xf>
    <xf numFmtId="0" fontId="17" fillId="0" borderId="0" xfId="5" applyFont="1"/>
    <xf numFmtId="0" fontId="19" fillId="0" borderId="0" xfId="3" applyFont="1" applyAlignment="1" applyProtection="1"/>
    <xf numFmtId="0" fontId="20" fillId="0" borderId="0" xfId="5" applyFont="1"/>
    <xf numFmtId="0" fontId="17" fillId="0" borderId="0" xfId="5" applyFont="1" applyBorder="1" applyAlignment="1">
      <alignment wrapText="1"/>
    </xf>
    <xf numFmtId="0" fontId="8" fillId="0" borderId="0" xfId="2" applyAlignment="1" applyProtection="1"/>
    <xf numFmtId="0" fontId="17" fillId="0" borderId="0" xfId="5" quotePrefix="1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87" fontId="0" fillId="0" borderId="0" xfId="0" applyNumberFormat="1" applyAlignment="1" applyProtection="1">
      <alignment horizontal="left" indent="4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1" xfId="0" applyBorder="1" applyAlignment="1">
      <alignment horizontal="left" indent="2"/>
    </xf>
    <xf numFmtId="173" fontId="0" fillId="0" borderId="0" xfId="0" applyNumberFormat="1" applyAlignment="1">
      <alignment horizontal="left" indent="3"/>
    </xf>
    <xf numFmtId="173" fontId="0" fillId="0" borderId="0" xfId="0" applyNumberFormat="1" applyBorder="1" applyAlignment="1">
      <alignment horizontal="left" indent="3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6" fillId="0" borderId="2" xfId="0" applyFont="1" applyBorder="1" applyAlignment="1">
      <alignment horizontal="right" indent="1"/>
    </xf>
    <xf numFmtId="182" fontId="6" fillId="0" borderId="0" xfId="0" applyNumberFormat="1" applyFont="1"/>
    <xf numFmtId="0" fontId="0" fillId="0" borderId="2" xfId="0" applyBorder="1" applyAlignment="1">
      <alignment horizontal="left" indent="2"/>
    </xf>
    <xf numFmtId="165" fontId="0" fillId="0" borderId="0" xfId="0" applyNumberFormat="1" applyAlignment="1"/>
    <xf numFmtId="178" fontId="0" fillId="0" borderId="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185" fontId="0" fillId="0" borderId="0" xfId="0" applyNumberFormat="1" applyFill="1"/>
    <xf numFmtId="0" fontId="6" fillId="0" borderId="0" xfId="0" applyFont="1" applyFill="1"/>
    <xf numFmtId="0" fontId="0" fillId="0" borderId="0" xfId="0" applyFont="1" applyFill="1"/>
    <xf numFmtId="0" fontId="0" fillId="0" borderId="0" xfId="0" applyFill="1" applyBorder="1"/>
    <xf numFmtId="181" fontId="0" fillId="0" borderId="0" xfId="0" applyNumberFormat="1" applyFill="1"/>
    <xf numFmtId="185" fontId="0" fillId="0" borderId="1" xfId="0" applyNumberFormat="1" applyFill="1" applyBorder="1"/>
    <xf numFmtId="166" fontId="0" fillId="0" borderId="1" xfId="0" applyNumberFormat="1" applyFill="1" applyBorder="1"/>
    <xf numFmtId="166" fontId="0" fillId="0" borderId="0" xfId="0" applyNumberFormat="1" applyFill="1" applyBorder="1"/>
    <xf numFmtId="166" fontId="0" fillId="0" borderId="0" xfId="0" applyNumberFormat="1" applyFill="1"/>
    <xf numFmtId="179" fontId="0" fillId="0" borderId="1" xfId="0" applyNumberFormat="1" applyFill="1" applyBorder="1"/>
    <xf numFmtId="172" fontId="0" fillId="0" borderId="1" xfId="0" applyNumberFormat="1" applyFill="1" applyBorder="1"/>
    <xf numFmtId="172" fontId="0" fillId="0" borderId="0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/>
    <xf numFmtId="172" fontId="0" fillId="0" borderId="0" xfId="0" applyNumberFormat="1" applyFill="1"/>
    <xf numFmtId="170" fontId="6" fillId="0" borderId="0" xfId="0" applyNumberFormat="1" applyFont="1" applyFill="1" applyBorder="1"/>
    <xf numFmtId="173" fontId="0" fillId="0" borderId="0" xfId="0" applyNumberFormat="1" applyFill="1" applyAlignment="1">
      <alignment horizontal="left" indent="3"/>
    </xf>
    <xf numFmtId="174" fontId="6" fillId="0" borderId="0" xfId="0" applyNumberFormat="1" applyFont="1" applyFill="1" applyBorder="1"/>
    <xf numFmtId="3" fontId="6" fillId="0" borderId="0" xfId="0" applyNumberFormat="1" applyFont="1" applyFill="1" applyBorder="1"/>
    <xf numFmtId="171" fontId="0" fillId="0" borderId="0" xfId="0" applyNumberFormat="1" applyFont="1" applyFill="1" applyBorder="1"/>
    <xf numFmtId="171" fontId="0" fillId="0" borderId="0" xfId="0" applyNumberFormat="1" applyFill="1" applyBorder="1"/>
    <xf numFmtId="179" fontId="0" fillId="0" borderId="0" xfId="0" applyNumberFormat="1" applyFill="1"/>
    <xf numFmtId="172" fontId="6" fillId="0" borderId="0" xfId="0" applyNumberFormat="1" applyFont="1" applyFill="1"/>
    <xf numFmtId="184" fontId="6" fillId="0" borderId="0" xfId="1" applyNumberFormat="1" applyFont="1" applyFill="1" applyBorder="1" applyAlignment="1">
      <alignment horizontal="center"/>
    </xf>
    <xf numFmtId="166" fontId="6" fillId="0" borderId="0" xfId="0" applyNumberFormat="1" applyFont="1" applyFill="1" applyBorder="1"/>
    <xf numFmtId="172" fontId="6" fillId="0" borderId="0" xfId="0" applyNumberFormat="1" applyFont="1" applyFill="1" applyBorder="1"/>
    <xf numFmtId="167" fontId="6" fillId="0" borderId="0" xfId="0" applyNumberFormat="1" applyFont="1" applyFill="1" applyBorder="1"/>
    <xf numFmtId="164" fontId="6" fillId="0" borderId="0" xfId="0" applyNumberFormat="1" applyFont="1" applyFill="1" applyBorder="1"/>
    <xf numFmtId="182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0" fontId="0" fillId="0" borderId="0" xfId="0" applyNumberFormat="1" applyFill="1" applyBorder="1"/>
    <xf numFmtId="179" fontId="0" fillId="0" borderId="0" xfId="0" applyNumberFormat="1" applyFill="1" applyBorder="1"/>
    <xf numFmtId="169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ill="1"/>
    <xf numFmtId="178" fontId="0" fillId="0" borderId="0" xfId="0" applyNumberFormat="1" applyFill="1" applyBorder="1"/>
    <xf numFmtId="187" fontId="0" fillId="0" borderId="0" xfId="0" applyNumberFormat="1" applyBorder="1"/>
    <xf numFmtId="0" fontId="8" fillId="0" borderId="0" xfId="2" applyAlignment="1" applyProtection="1">
      <alignment horizontal="left"/>
    </xf>
    <xf numFmtId="0" fontId="8" fillId="0" borderId="0" xfId="2" quotePrefix="1" applyAlignment="1" applyProtection="1">
      <alignment horizontal="left"/>
    </xf>
    <xf numFmtId="0" fontId="0" fillId="0" borderId="0" xfId="0" applyFill="1" applyBorder="1" applyAlignment="1">
      <alignment horizontal="left"/>
    </xf>
    <xf numFmtId="170" fontId="0" fillId="0" borderId="0" xfId="0" applyNumberFormat="1" applyAlignment="1">
      <alignment horizontal="right" indent="1"/>
    </xf>
    <xf numFmtId="0" fontId="0" fillId="0" borderId="0" xfId="0" applyAlignment="1">
      <alignment horizontal="right" indent="3"/>
    </xf>
    <xf numFmtId="181" fontId="0" fillId="0" borderId="0" xfId="0" applyNumberFormat="1" applyAlignment="1">
      <alignment horizontal="right" indent="3"/>
    </xf>
    <xf numFmtId="173" fontId="0" fillId="0" borderId="1" xfId="0" applyNumberFormat="1" applyFill="1" applyBorder="1" applyAlignment="1">
      <alignment horizontal="left" indent="3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167" fontId="0" fillId="0" borderId="1" xfId="0" applyNumberFormat="1" applyFill="1" applyBorder="1"/>
    <xf numFmtId="180" fontId="0" fillId="0" borderId="0" xfId="0" applyNumberFormat="1" applyFill="1"/>
    <xf numFmtId="180" fontId="0" fillId="0" borderId="0" xfId="0" applyNumberFormat="1" applyFill="1" applyBorder="1" applyAlignment="1"/>
    <xf numFmtId="170" fontId="0" fillId="0" borderId="0" xfId="0" applyNumberFormat="1" applyFill="1"/>
    <xf numFmtId="170" fontId="0" fillId="0" borderId="0" xfId="0" applyNumberFormat="1" applyFill="1" applyAlignment="1">
      <alignment horizontal="right" indent="1"/>
    </xf>
    <xf numFmtId="187" fontId="0" fillId="0" borderId="0" xfId="0" applyNumberFormat="1" applyFill="1"/>
    <xf numFmtId="178" fontId="0" fillId="0" borderId="1" xfId="0" applyNumberFormat="1" applyFill="1" applyBorder="1"/>
    <xf numFmtId="178" fontId="0" fillId="0" borderId="0" xfId="0" applyNumberFormat="1" applyFill="1"/>
    <xf numFmtId="187" fontId="0" fillId="0" borderId="0" xfId="0" applyNumberFormat="1" applyFill="1" applyProtection="1"/>
    <xf numFmtId="170" fontId="6" fillId="0" borderId="1" xfId="0" applyNumberFormat="1" applyFont="1" applyFill="1" applyBorder="1"/>
    <xf numFmtId="170" fontId="6" fillId="0" borderId="0" xfId="0" applyNumberFormat="1" applyFont="1" applyFill="1"/>
    <xf numFmtId="173" fontId="6" fillId="0" borderId="1" xfId="0" applyNumberFormat="1" applyFont="1" applyFill="1" applyBorder="1"/>
    <xf numFmtId="174" fontId="6" fillId="0" borderId="1" xfId="0" applyNumberFormat="1" applyFont="1" applyFill="1" applyBorder="1"/>
    <xf numFmtId="3" fontId="6" fillId="0" borderId="1" xfId="0" applyNumberFormat="1" applyFont="1" applyFill="1" applyBorder="1"/>
    <xf numFmtId="171" fontId="0" fillId="0" borderId="1" xfId="0" applyNumberFormat="1" applyFill="1" applyBorder="1"/>
    <xf numFmtId="171" fontId="0" fillId="0" borderId="1" xfId="0" applyNumberFormat="1" applyFont="1" applyFill="1" applyBorder="1"/>
    <xf numFmtId="172" fontId="6" fillId="0" borderId="1" xfId="0" applyNumberFormat="1" applyFont="1" applyFill="1" applyBorder="1"/>
    <xf numFmtId="172" fontId="0" fillId="0" borderId="0" xfId="0" applyNumberFormat="1" applyFont="1" applyFill="1"/>
    <xf numFmtId="169" fontId="6" fillId="0" borderId="0" xfId="0" applyNumberFormat="1" applyFont="1"/>
    <xf numFmtId="37" fontId="6" fillId="0" borderId="0" xfId="0" applyNumberFormat="1" applyFont="1"/>
    <xf numFmtId="169" fontId="0" fillId="0" borderId="1" xfId="0" applyNumberFormat="1" applyFill="1" applyBorder="1"/>
    <xf numFmtId="184" fontId="6" fillId="0" borderId="1" xfId="1" applyNumberFormat="1" applyFont="1" applyFill="1" applyBorder="1" applyAlignment="1">
      <alignment horizontal="center"/>
    </xf>
    <xf numFmtId="166" fontId="6" fillId="0" borderId="1" xfId="0" applyNumberFormat="1" applyFont="1" applyFill="1" applyBorder="1"/>
    <xf numFmtId="167" fontId="6" fillId="0" borderId="1" xfId="0" applyNumberFormat="1" applyFont="1" applyFill="1" applyBorder="1"/>
    <xf numFmtId="164" fontId="6" fillId="0" borderId="1" xfId="0" applyNumberFormat="1" applyFont="1" applyFill="1" applyBorder="1"/>
    <xf numFmtId="170" fontId="0" fillId="0" borderId="1" xfId="0" applyNumberFormat="1" applyFill="1" applyBorder="1"/>
    <xf numFmtId="164" fontId="0" fillId="0" borderId="1" xfId="0" applyNumberFormat="1" applyFill="1" applyBorder="1"/>
    <xf numFmtId="167" fontId="0" fillId="0" borderId="0" xfId="0" applyNumberFormat="1" applyFont="1" applyFill="1" applyBorder="1"/>
    <xf numFmtId="0" fontId="0" fillId="0" borderId="3" xfId="0" applyBorder="1" applyAlignment="1">
      <alignment horizontal="center"/>
    </xf>
    <xf numFmtId="165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2" xfId="0" applyBorder="1" applyAlignment="1"/>
    <xf numFmtId="0" fontId="6" fillId="0" borderId="3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quotePrefix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3" xfId="0" quotePrefix="1" applyFont="1" applyBorder="1" applyAlignment="1">
      <alignment horizontal="right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indent="5"/>
    </xf>
    <xf numFmtId="0" fontId="0" fillId="0" borderId="2" xfId="0" applyBorder="1" applyAlignment="1">
      <alignment horizontal="left" indent="5"/>
    </xf>
    <xf numFmtId="0" fontId="0" fillId="0" borderId="2" xfId="0" applyBorder="1" applyAlignment="1">
      <alignment horizontal="left" indent="3"/>
    </xf>
    <xf numFmtId="0" fontId="0" fillId="0" borderId="2" xfId="0" applyBorder="1" applyAlignment="1">
      <alignment horizontal="left" indent="4"/>
    </xf>
    <xf numFmtId="0" fontId="0" fillId="0" borderId="2" xfId="0" applyBorder="1" applyAlignment="1">
      <alignment horizontal="left" indent="6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indent="3"/>
    </xf>
    <xf numFmtId="0" fontId="0" fillId="0" borderId="2" xfId="0" applyBorder="1" applyAlignment="1">
      <alignment horizontal="left" indent="7"/>
    </xf>
    <xf numFmtId="0" fontId="0" fillId="0" borderId="1" xfId="0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indent="6"/>
    </xf>
    <xf numFmtId="0" fontId="0" fillId="0" borderId="3" xfId="0" quotePrefix="1" applyBorder="1" applyAlignment="1">
      <alignment horizontal="left" indent="1"/>
    </xf>
    <xf numFmtId="0" fontId="0" fillId="0" borderId="3" xfId="0" quotePrefix="1" applyBorder="1" applyAlignment="1">
      <alignment horizontal="left" indent="5"/>
    </xf>
    <xf numFmtId="0" fontId="6" fillId="0" borderId="3" xfId="0" applyFont="1" applyBorder="1" applyAlignment="1">
      <alignment horizontal="left" indent="1"/>
    </xf>
    <xf numFmtId="0" fontId="0" fillId="0" borderId="2" xfId="0" applyNumberFormat="1" applyBorder="1" applyAlignment="1">
      <alignment horizontal="left" indent="6"/>
    </xf>
    <xf numFmtId="0" fontId="6" fillId="0" borderId="3" xfId="0" applyFont="1" applyBorder="1" applyAlignment="1">
      <alignment horizontal="left"/>
    </xf>
    <xf numFmtId="176" fontId="0" fillId="0" borderId="1" xfId="0" quotePrefix="1" applyNumberFormat="1" applyFill="1" applyBorder="1" applyAlignment="1">
      <alignment horizontal="center"/>
    </xf>
    <xf numFmtId="179" fontId="0" fillId="0" borderId="1" xfId="0" quotePrefix="1" applyNumberFormat="1" applyFill="1" applyBorder="1" applyAlignment="1">
      <alignment horizontal="center"/>
    </xf>
    <xf numFmtId="173" fontId="0" fillId="0" borderId="1" xfId="0" quotePrefix="1" applyNumberFormat="1" applyFill="1" applyBorder="1" applyAlignment="1">
      <alignment horizontal="center"/>
    </xf>
    <xf numFmtId="179" fontId="6" fillId="0" borderId="1" xfId="0" quotePrefix="1" applyNumberFormat="1" applyFont="1" applyBorder="1" applyAlignment="1">
      <alignment horizontal="center"/>
    </xf>
    <xf numFmtId="2" fontId="6" fillId="0" borderId="1" xfId="0" quotePrefix="1" applyNumberFormat="1" applyFont="1" applyFill="1" applyBorder="1" applyAlignment="1">
      <alignment horizontal="left" indent="1"/>
    </xf>
    <xf numFmtId="2" fontId="0" fillId="0" borderId="1" xfId="0" quotePrefix="1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left" indent="1"/>
    </xf>
    <xf numFmtId="179" fontId="0" fillId="0" borderId="1" xfId="0" quotePrefix="1" applyNumberFormat="1" applyFill="1" applyBorder="1" applyAlignment="1">
      <alignment horizontal="left" indent="1"/>
    </xf>
    <xf numFmtId="176" fontId="0" fillId="0" borderId="1" xfId="0" applyNumberFormat="1" applyBorder="1" applyAlignment="1">
      <alignment horizontal="center"/>
    </xf>
    <xf numFmtId="176" fontId="0" fillId="0" borderId="1" xfId="0" quotePrefix="1" applyNumberFormat="1" applyFill="1" applyBorder="1" applyAlignment="1">
      <alignment horizontal="left" indent="1"/>
    </xf>
    <xf numFmtId="0" fontId="0" fillId="0" borderId="0" xfId="0" applyBorder="1" applyAlignment="1">
      <alignment horizontal="left" indent="7"/>
    </xf>
    <xf numFmtId="0" fontId="0" fillId="0" borderId="0" xfId="0" applyBorder="1" applyAlignment="1">
      <alignment horizontal="left" indent="6"/>
    </xf>
    <xf numFmtId="0" fontId="0" fillId="0" borderId="0" xfId="0" applyBorder="1" applyAlignment="1">
      <alignment horizontal="right" indent="4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 indent="6"/>
    </xf>
    <xf numFmtId="0" fontId="0" fillId="0" borderId="0" xfId="0" quotePrefix="1" applyBorder="1" applyAlignment="1">
      <alignment horizontal="right"/>
    </xf>
    <xf numFmtId="0" fontId="0" fillId="0" borderId="1" xfId="0" applyFill="1" applyBorder="1"/>
    <xf numFmtId="0" fontId="6" fillId="0" borderId="0" xfId="0" quotePrefix="1" applyFont="1" applyFill="1"/>
    <xf numFmtId="170" fontId="0" fillId="0" borderId="0" xfId="0" applyNumberFormat="1" applyBorder="1" applyAlignment="1">
      <alignment horizontal="right" indent="1"/>
    </xf>
    <xf numFmtId="187" fontId="0" fillId="0" borderId="0" xfId="0" applyNumberFormat="1" applyFill="1" applyBorder="1"/>
    <xf numFmtId="187" fontId="0" fillId="0" borderId="0" xfId="0" applyNumberFormat="1" applyFill="1" applyBorder="1" applyProtection="1"/>
    <xf numFmtId="173" fontId="0" fillId="0" borderId="0" xfId="0" quotePrefix="1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left" indent="3"/>
    </xf>
    <xf numFmtId="2" fontId="0" fillId="0" borderId="0" xfId="0" quotePrefix="1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2" xfId="0" applyFont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0" fontId="17" fillId="0" borderId="0" xfId="5" applyFont="1" applyFill="1"/>
    <xf numFmtId="176" fontId="0" fillId="0" borderId="1" xfId="0" applyNumberFormat="1" applyFill="1" applyBorder="1" applyAlignment="1">
      <alignment horizontal="center"/>
    </xf>
    <xf numFmtId="37" fontId="0" fillId="0" borderId="0" xfId="0" applyNumberFormat="1" applyProtection="1"/>
    <xf numFmtId="170" fontId="0" fillId="0" borderId="1" xfId="0" applyNumberFormat="1" applyBorder="1" applyAlignment="1">
      <alignment horizontal="center"/>
    </xf>
    <xf numFmtId="2" fontId="0" fillId="0" borderId="1" xfId="0" applyNumberFormat="1" applyBorder="1"/>
    <xf numFmtId="187" fontId="0" fillId="0" borderId="1" xfId="0" applyNumberFormat="1" applyBorder="1"/>
    <xf numFmtId="178" fontId="2" fillId="0" borderId="1" xfId="0" applyNumberFormat="1" applyFont="1" applyBorder="1"/>
    <xf numFmtId="187" fontId="0" fillId="0" borderId="1" xfId="0" applyNumberFormat="1" applyBorder="1" applyProtection="1"/>
    <xf numFmtId="175" fontId="0" fillId="0" borderId="1" xfId="0" applyNumberFormat="1" applyBorder="1"/>
    <xf numFmtId="167" fontId="6" fillId="0" borderId="1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6" fillId="0" borderId="0" xfId="52" applyFont="1" applyAlignment="1" applyProtection="1">
      <alignment horizontal="right" vertical="top" wrapText="1" readingOrder="1"/>
      <protection locked="0"/>
    </xf>
    <xf numFmtId="0" fontId="23" fillId="0" borderId="0" xfId="5" applyFont="1" applyFill="1"/>
    <xf numFmtId="0" fontId="24" fillId="0" borderId="0" xfId="5" applyFont="1" applyFill="1"/>
    <xf numFmtId="0" fontId="48" fillId="0" borderId="0" xfId="0" applyFont="1"/>
    <xf numFmtId="189" fontId="47" fillId="0" borderId="0" xfId="0" applyNumberFormat="1" applyFont="1" applyAlignment="1">
      <alignment horizontal="right" vertical="top" wrapText="1" readingOrder="1"/>
    </xf>
    <xf numFmtId="0" fontId="48" fillId="0" borderId="1" xfId="0" applyFont="1" applyBorder="1"/>
    <xf numFmtId="3" fontId="47" fillId="0" borderId="0" xfId="0" applyNumberFormat="1" applyFont="1" applyAlignment="1">
      <alignment horizontal="right" vertical="top" wrapText="1" readingOrder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left" indent="3"/>
    </xf>
    <xf numFmtId="0" fontId="0" fillId="0" borderId="13" xfId="0" applyBorder="1" applyAlignment="1">
      <alignment horizontal="left" indent="6"/>
    </xf>
    <xf numFmtId="0" fontId="0" fillId="0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right" indent="1"/>
    </xf>
    <xf numFmtId="0" fontId="0" fillId="0" borderId="19" xfId="0" applyBorder="1" applyAlignment="1">
      <alignment horizontal="left" inden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3" fontId="6" fillId="0" borderId="0" xfId="0" applyNumberFormat="1" applyFont="1"/>
    <xf numFmtId="0" fontId="0" fillId="0" borderId="17" xfId="0" applyBorder="1" applyAlignment="1"/>
    <xf numFmtId="173" fontId="6" fillId="0" borderId="0" xfId="0" applyNumberFormat="1" applyFont="1"/>
    <xf numFmtId="173" fontId="0" fillId="0" borderId="1" xfId="0" applyNumberFormat="1" applyBorder="1"/>
    <xf numFmtId="174" fontId="0" fillId="0" borderId="1" xfId="0" applyNumberFormat="1" applyBorder="1"/>
    <xf numFmtId="0" fontId="0" fillId="0" borderId="19" xfId="0" applyBorder="1"/>
    <xf numFmtId="0" fontId="0" fillId="0" borderId="13" xfId="0" applyBorder="1"/>
    <xf numFmtId="0" fontId="0" fillId="0" borderId="19" xfId="0" applyBorder="1" applyAlignment="1">
      <alignment horizontal="right" indent="2"/>
    </xf>
    <xf numFmtId="0" fontId="0" fillId="0" borderId="1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Border="1"/>
    <xf numFmtId="0" fontId="0" fillId="0" borderId="19" xfId="0" applyBorder="1" applyAlignment="1">
      <alignment horizontal="right" indent="3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right" inden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19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47" fillId="0" borderId="0" xfId="0" applyFont="1" applyAlignment="1">
      <alignment vertical="top" wrapText="1" readingOrder="1"/>
    </xf>
    <xf numFmtId="0" fontId="49" fillId="0" borderId="0" xfId="0" applyFont="1" applyAlignment="1">
      <alignment horizontal="right" vertical="top" wrapText="1" readingOrder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2" builtinId="8"/>
    <cellStyle name="Hyperlink 2" xfId="3" xr:uid="{00000000-0005-0000-0000-000023000000}"/>
    <cellStyle name="Hyperlink 3" xfId="47" xr:uid="{00000000-0005-0000-0000-000024000000}"/>
    <cellStyle name="Hyperlink 4" xfId="49" xr:uid="{00000000-0005-0000-0000-000025000000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4" xr:uid="{00000000-0005-0000-0000-00002A000000}"/>
    <cellStyle name="Normal 2 2" xfId="5" xr:uid="{00000000-0005-0000-0000-00002B000000}"/>
    <cellStyle name="Normal 3" xfId="46" xr:uid="{00000000-0005-0000-0000-00002C000000}"/>
    <cellStyle name="Normal 4" xfId="48" xr:uid="{00000000-0005-0000-0000-00002D000000}"/>
    <cellStyle name="Normal 5" xfId="50" xr:uid="{00000000-0005-0000-0000-00002E000000}"/>
    <cellStyle name="Normal 6" xfId="52" xr:uid="{00000000-0005-0000-0000-00002F000000}"/>
    <cellStyle name="Note 2" xfId="51" xr:uid="{00000000-0005-0000-0000-000030000000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5" name="Picture 1" descr="PrintLogo">
          <a:extLst>
            <a:ext uri="{FF2B5EF4-FFF2-40B4-BE49-F238E27FC236}">
              <a16:creationId xmlns:a16="http://schemas.microsoft.com/office/drawing/2014/main" id="{00000000-0008-0000-0000-0000F1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6" name="Picture 2" descr="PrintLogo">
          <a:extLst>
            <a:ext uri="{FF2B5EF4-FFF2-40B4-BE49-F238E27FC236}">
              <a16:creationId xmlns:a16="http://schemas.microsoft.com/office/drawing/2014/main" id="{00000000-0008-0000-0000-0000F2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7" name="Picture 3" descr="PrintLogo">
          <a:extLst>
            <a:ext uri="{FF2B5EF4-FFF2-40B4-BE49-F238E27FC236}">
              <a16:creationId xmlns:a16="http://schemas.microsoft.com/office/drawing/2014/main" id="{00000000-0008-0000-0000-0000F3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8" name="Picture 4" descr="PrintLogo">
          <a:extLst>
            <a:ext uri="{FF2B5EF4-FFF2-40B4-BE49-F238E27FC236}">
              <a16:creationId xmlns:a16="http://schemas.microsoft.com/office/drawing/2014/main" id="{00000000-0008-0000-0000-0000F4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9" name="Picture 5" descr="PrintLogo">
          <a:extLst>
            <a:ext uri="{FF2B5EF4-FFF2-40B4-BE49-F238E27FC236}">
              <a16:creationId xmlns:a16="http://schemas.microsoft.com/office/drawing/2014/main" id="{00000000-0008-0000-0000-0000F5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0" name="Picture 6" descr="PrintLogo">
          <a:extLst>
            <a:ext uri="{FF2B5EF4-FFF2-40B4-BE49-F238E27FC236}">
              <a16:creationId xmlns:a16="http://schemas.microsoft.com/office/drawing/2014/main" id="{00000000-0008-0000-0000-0000F6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1" name="Picture 7" descr="PrintLogo">
          <a:extLst>
            <a:ext uri="{FF2B5EF4-FFF2-40B4-BE49-F238E27FC236}">
              <a16:creationId xmlns:a16="http://schemas.microsoft.com/office/drawing/2014/main" id="{00000000-0008-0000-0000-0000F7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2" name="Picture 8" descr="PrintLogo">
          <a:extLst>
            <a:ext uri="{FF2B5EF4-FFF2-40B4-BE49-F238E27FC236}">
              <a16:creationId xmlns:a16="http://schemas.microsoft.com/office/drawing/2014/main" id="{00000000-0008-0000-0000-0000F8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3" name="Picture 9" descr="PrintLogo">
          <a:extLst>
            <a:ext uri="{FF2B5EF4-FFF2-40B4-BE49-F238E27FC236}">
              <a16:creationId xmlns:a16="http://schemas.microsoft.com/office/drawing/2014/main" id="{00000000-0008-0000-0000-0000F9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4" name="Picture 10" descr="PrintLogo">
          <a:extLst>
            <a:ext uri="{FF2B5EF4-FFF2-40B4-BE49-F238E27FC236}">
              <a16:creationId xmlns:a16="http://schemas.microsoft.com/office/drawing/2014/main" id="{00000000-0008-0000-0000-0000FA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5" name="Picture 11" descr="PrintLogo">
          <a:extLst>
            <a:ext uri="{FF2B5EF4-FFF2-40B4-BE49-F238E27FC236}">
              <a16:creationId xmlns:a16="http://schemas.microsoft.com/office/drawing/2014/main" id="{00000000-0008-0000-0000-0000FB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6" name="Picture 12" descr="PrintLogo">
          <a:extLst>
            <a:ext uri="{FF2B5EF4-FFF2-40B4-BE49-F238E27FC236}">
              <a16:creationId xmlns:a16="http://schemas.microsoft.com/office/drawing/2014/main" id="{00000000-0008-0000-0000-0000FC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7" name="Picture 13" descr="PrintLogo">
          <a:extLst>
            <a:ext uri="{FF2B5EF4-FFF2-40B4-BE49-F238E27FC236}">
              <a16:creationId xmlns:a16="http://schemas.microsoft.com/office/drawing/2014/main" id="{00000000-0008-0000-0000-0000FD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8" name="Picture 14" descr="PrintLogo">
          <a:extLst>
            <a:ext uri="{FF2B5EF4-FFF2-40B4-BE49-F238E27FC236}">
              <a16:creationId xmlns:a16="http://schemas.microsoft.com/office/drawing/2014/main" id="{00000000-0008-0000-0000-0000FE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9" name="Picture 15" descr="PrintLogo">
          <a:extLst>
            <a:ext uri="{FF2B5EF4-FFF2-40B4-BE49-F238E27FC236}">
              <a16:creationId xmlns:a16="http://schemas.microsoft.com/office/drawing/2014/main" id="{00000000-0008-0000-0000-0000FF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0" name="Picture 16" descr="PrintLogo">
          <a:extLst>
            <a:ext uri="{FF2B5EF4-FFF2-40B4-BE49-F238E27FC236}">
              <a16:creationId xmlns:a16="http://schemas.microsoft.com/office/drawing/2014/main" id="{00000000-0008-0000-0000-000000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1" name="Picture 17" descr="PrintLogo">
          <a:extLst>
            <a:ext uri="{FF2B5EF4-FFF2-40B4-BE49-F238E27FC236}">
              <a16:creationId xmlns:a16="http://schemas.microsoft.com/office/drawing/2014/main" id="{00000000-0008-0000-0000-000001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2" name="Picture 18" descr="PrintLogo">
          <a:extLst>
            <a:ext uri="{FF2B5EF4-FFF2-40B4-BE49-F238E27FC236}">
              <a16:creationId xmlns:a16="http://schemas.microsoft.com/office/drawing/2014/main" id="{00000000-0008-0000-0000-000002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3" name="Picture 19" descr="PrintLogo">
          <a:extLst>
            <a:ext uri="{FF2B5EF4-FFF2-40B4-BE49-F238E27FC236}">
              <a16:creationId xmlns:a16="http://schemas.microsoft.com/office/drawing/2014/main" id="{00000000-0008-0000-0000-000003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4" name="Picture 20" descr="PrintLogo">
          <a:extLst>
            <a:ext uri="{FF2B5EF4-FFF2-40B4-BE49-F238E27FC236}">
              <a16:creationId xmlns:a16="http://schemas.microsoft.com/office/drawing/2014/main" id="{00000000-0008-0000-0000-000004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5" name="Picture 21" descr="PrintLogo">
          <a:extLst>
            <a:ext uri="{FF2B5EF4-FFF2-40B4-BE49-F238E27FC236}">
              <a16:creationId xmlns:a16="http://schemas.microsoft.com/office/drawing/2014/main" id="{00000000-0008-0000-0000-000005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6" name="Picture 22" descr="PrintLogo">
          <a:extLst>
            <a:ext uri="{FF2B5EF4-FFF2-40B4-BE49-F238E27FC236}">
              <a16:creationId xmlns:a16="http://schemas.microsoft.com/office/drawing/2014/main" id="{00000000-0008-0000-0000-000006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7" name="Picture 23" descr="PrintLogo">
          <a:extLst>
            <a:ext uri="{FF2B5EF4-FFF2-40B4-BE49-F238E27FC236}">
              <a16:creationId xmlns:a16="http://schemas.microsoft.com/office/drawing/2014/main" id="{00000000-0008-0000-0000-000007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8" name="Picture 24" descr="PrintLogo">
          <a:extLst>
            <a:ext uri="{FF2B5EF4-FFF2-40B4-BE49-F238E27FC236}">
              <a16:creationId xmlns:a16="http://schemas.microsoft.com/office/drawing/2014/main" id="{00000000-0008-0000-0000-000008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9" name="Picture 25" descr="PrintLogo">
          <a:extLst>
            <a:ext uri="{FF2B5EF4-FFF2-40B4-BE49-F238E27FC236}">
              <a16:creationId xmlns:a16="http://schemas.microsoft.com/office/drawing/2014/main" id="{00000000-0008-0000-0000-000009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0" name="Picture 26" descr="PrintLogo">
          <a:extLst>
            <a:ext uri="{FF2B5EF4-FFF2-40B4-BE49-F238E27FC236}">
              <a16:creationId xmlns:a16="http://schemas.microsoft.com/office/drawing/2014/main" id="{00000000-0008-0000-0000-00000A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1" name="Picture 27" descr="PrintLogo">
          <a:extLst>
            <a:ext uri="{FF2B5EF4-FFF2-40B4-BE49-F238E27FC236}">
              <a16:creationId xmlns:a16="http://schemas.microsoft.com/office/drawing/2014/main" id="{00000000-0008-0000-0000-00000B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2" name="Picture 28" descr="PrintLogo">
          <a:extLst>
            <a:ext uri="{FF2B5EF4-FFF2-40B4-BE49-F238E27FC236}">
              <a16:creationId xmlns:a16="http://schemas.microsoft.com/office/drawing/2014/main" id="{00000000-0008-0000-0000-00000C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3" name="Picture 29" descr="PrintLogo">
          <a:extLst>
            <a:ext uri="{FF2B5EF4-FFF2-40B4-BE49-F238E27FC236}">
              <a16:creationId xmlns:a16="http://schemas.microsoft.com/office/drawing/2014/main" id="{00000000-0008-0000-0000-00000D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4" name="Picture 30" descr="PrintLogo">
          <a:extLst>
            <a:ext uri="{FF2B5EF4-FFF2-40B4-BE49-F238E27FC236}">
              <a16:creationId xmlns:a16="http://schemas.microsoft.com/office/drawing/2014/main" id="{00000000-0008-0000-0000-00000E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5" name="Picture 31" descr="PrintLogo">
          <a:extLst>
            <a:ext uri="{FF2B5EF4-FFF2-40B4-BE49-F238E27FC236}">
              <a16:creationId xmlns:a16="http://schemas.microsoft.com/office/drawing/2014/main" id="{00000000-0008-0000-0000-00000F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6" name="Picture 32" descr="PrintLogo">
          <a:extLst>
            <a:ext uri="{FF2B5EF4-FFF2-40B4-BE49-F238E27FC236}">
              <a16:creationId xmlns:a16="http://schemas.microsoft.com/office/drawing/2014/main" id="{00000000-0008-0000-0000-000010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7" name="Picture 33" descr="PrintLogo">
          <a:extLst>
            <a:ext uri="{FF2B5EF4-FFF2-40B4-BE49-F238E27FC236}">
              <a16:creationId xmlns:a16="http://schemas.microsoft.com/office/drawing/2014/main" id="{00000000-0008-0000-0000-000011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8" name="Picture 34" descr="PrintLogo">
          <a:extLst>
            <a:ext uri="{FF2B5EF4-FFF2-40B4-BE49-F238E27FC236}">
              <a16:creationId xmlns:a16="http://schemas.microsoft.com/office/drawing/2014/main" id="{00000000-0008-0000-0000-000012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9" name="Picture 35" descr="PrintLogo">
          <a:extLst>
            <a:ext uri="{FF2B5EF4-FFF2-40B4-BE49-F238E27FC236}">
              <a16:creationId xmlns:a16="http://schemas.microsoft.com/office/drawing/2014/main" id="{00000000-0008-0000-0000-000013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0" name="Picture 36" descr="PrintLogo">
          <a:extLst>
            <a:ext uri="{FF2B5EF4-FFF2-40B4-BE49-F238E27FC236}">
              <a16:creationId xmlns:a16="http://schemas.microsoft.com/office/drawing/2014/main" id="{00000000-0008-0000-0000-000014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1" name="Picture 37" descr="PrintLogo">
          <a:extLst>
            <a:ext uri="{FF2B5EF4-FFF2-40B4-BE49-F238E27FC236}">
              <a16:creationId xmlns:a16="http://schemas.microsoft.com/office/drawing/2014/main" id="{00000000-0008-0000-0000-000015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2" name="Picture 38" descr="PrintLogo">
          <a:extLst>
            <a:ext uri="{FF2B5EF4-FFF2-40B4-BE49-F238E27FC236}">
              <a16:creationId xmlns:a16="http://schemas.microsoft.com/office/drawing/2014/main" id="{00000000-0008-0000-0000-000016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3" name="Picture 39" descr="PrintLogo">
          <a:extLst>
            <a:ext uri="{FF2B5EF4-FFF2-40B4-BE49-F238E27FC236}">
              <a16:creationId xmlns:a16="http://schemas.microsoft.com/office/drawing/2014/main" id="{00000000-0008-0000-0000-000017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4" name="Picture 40" descr="PrintLogo">
          <a:extLst>
            <a:ext uri="{FF2B5EF4-FFF2-40B4-BE49-F238E27FC236}">
              <a16:creationId xmlns:a16="http://schemas.microsoft.com/office/drawing/2014/main" id="{00000000-0008-0000-0000-000018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5" name="Picture 41" descr="PrintLogo">
          <a:extLst>
            <a:ext uri="{FF2B5EF4-FFF2-40B4-BE49-F238E27FC236}">
              <a16:creationId xmlns:a16="http://schemas.microsoft.com/office/drawing/2014/main" id="{00000000-0008-0000-0000-000019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6" name="Picture 42" descr="PrintLogo">
          <a:extLst>
            <a:ext uri="{FF2B5EF4-FFF2-40B4-BE49-F238E27FC236}">
              <a16:creationId xmlns:a16="http://schemas.microsoft.com/office/drawing/2014/main" id="{00000000-0008-0000-0000-00001A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27" name="Picture 2098" descr="PrintLogo">
          <a:extLst>
            <a:ext uri="{FF2B5EF4-FFF2-40B4-BE49-F238E27FC236}">
              <a16:creationId xmlns:a16="http://schemas.microsoft.com/office/drawing/2014/main" id="{00000000-0008-0000-0000-00001B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28" name="Picture 2099" descr="PrintLogo">
          <a:extLst>
            <a:ext uri="{FF2B5EF4-FFF2-40B4-BE49-F238E27FC236}">
              <a16:creationId xmlns:a16="http://schemas.microsoft.com/office/drawing/2014/main" id="{00000000-0008-0000-0000-00001C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29" name="Picture 2100" descr="PrintLogo">
          <a:extLst>
            <a:ext uri="{FF2B5EF4-FFF2-40B4-BE49-F238E27FC236}">
              <a16:creationId xmlns:a16="http://schemas.microsoft.com/office/drawing/2014/main" id="{00000000-0008-0000-0000-00001D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30" name="Picture 2101" descr="PrintLogo">
          <a:extLst>
            <a:ext uri="{FF2B5EF4-FFF2-40B4-BE49-F238E27FC236}">
              <a16:creationId xmlns:a16="http://schemas.microsoft.com/office/drawing/2014/main" id="{00000000-0008-0000-0000-00001E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31" name="Picture 2102" descr="PrintLogo">
          <a:extLst>
            <a:ext uri="{FF2B5EF4-FFF2-40B4-BE49-F238E27FC236}">
              <a16:creationId xmlns:a16="http://schemas.microsoft.com/office/drawing/2014/main" id="{00000000-0008-0000-0000-00001F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32" name="Picture 2103" descr="PrintLogo">
          <a:extLst>
            <a:ext uri="{FF2B5EF4-FFF2-40B4-BE49-F238E27FC236}">
              <a16:creationId xmlns:a16="http://schemas.microsoft.com/office/drawing/2014/main" id="{00000000-0008-0000-0000-000020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33" name="Picture 2104" descr="PrintLogo">
          <a:extLst>
            <a:ext uri="{FF2B5EF4-FFF2-40B4-BE49-F238E27FC236}">
              <a16:creationId xmlns:a16="http://schemas.microsoft.com/office/drawing/2014/main" id="{00000000-0008-0000-0000-000021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34" name="Picture 2105" descr="PrintLogo">
          <a:extLst>
            <a:ext uri="{FF2B5EF4-FFF2-40B4-BE49-F238E27FC236}">
              <a16:creationId xmlns:a16="http://schemas.microsoft.com/office/drawing/2014/main" id="{00000000-0008-0000-0000-000022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E83"/>
  <sheetViews>
    <sheetView tabSelected="1" workbookViewId="0">
      <selection activeCell="A83" sqref="A83"/>
    </sheetView>
  </sheetViews>
  <sheetFormatPr defaultColWidth="11.28515625" defaultRowHeight="13.2"/>
  <cols>
    <col min="1" max="1" width="117.28515625" style="166" bestFit="1" customWidth="1"/>
    <col min="2" max="2" width="11.28515625" style="342"/>
    <col min="3" max="16384" width="11.28515625" style="163"/>
  </cols>
  <sheetData>
    <row r="1" spans="1:5" ht="44.25" customHeight="1">
      <c r="A1" s="162"/>
    </row>
    <row r="2" spans="1:5" ht="17.399999999999999">
      <c r="A2" s="170" t="s">
        <v>470</v>
      </c>
    </row>
    <row r="3" spans="1:5" s="165" customFormat="1">
      <c r="A3" s="164"/>
      <c r="B3" s="342"/>
    </row>
    <row r="4" spans="1:5">
      <c r="A4" s="169" t="s">
        <v>607</v>
      </c>
    </row>
    <row r="5" spans="1:5">
      <c r="A5" s="10" t="s">
        <v>742</v>
      </c>
    </row>
    <row r="6" spans="1:5">
      <c r="A6" s="167"/>
    </row>
    <row r="7" spans="1:5" s="165" customFormat="1">
      <c r="A7" s="164"/>
      <c r="B7" s="357"/>
    </row>
    <row r="8" spans="1:5" ht="12.75" customHeight="1">
      <c r="A8" s="169" t="s">
        <v>486</v>
      </c>
    </row>
    <row r="9" spans="1:5">
      <c r="A9" s="231" t="s">
        <v>608</v>
      </c>
      <c r="B9" s="358"/>
      <c r="D9" s="342"/>
      <c r="E9" s="342"/>
    </row>
    <row r="10" spans="1:5">
      <c r="B10" s="358"/>
      <c r="D10" s="342"/>
      <c r="E10" s="342"/>
    </row>
    <row r="11" spans="1:5">
      <c r="A11" s="169" t="s">
        <v>471</v>
      </c>
      <c r="B11" s="358"/>
      <c r="D11" s="342"/>
      <c r="E11" s="342"/>
    </row>
    <row r="12" spans="1:5">
      <c r="A12" s="232" t="s">
        <v>609</v>
      </c>
      <c r="B12" s="358"/>
      <c r="D12" s="342"/>
      <c r="E12" s="342"/>
    </row>
    <row r="13" spans="1:5">
      <c r="A13" s="232" t="s">
        <v>610</v>
      </c>
      <c r="B13" s="358"/>
      <c r="D13" s="342"/>
      <c r="E13" s="342"/>
    </row>
    <row r="14" spans="1:5">
      <c r="A14" s="232" t="s">
        <v>611</v>
      </c>
      <c r="B14" s="358"/>
      <c r="D14" s="342"/>
      <c r="E14" s="342"/>
    </row>
    <row r="15" spans="1:5">
      <c r="A15" s="232" t="s">
        <v>612</v>
      </c>
      <c r="B15" s="358"/>
      <c r="D15" s="342"/>
      <c r="E15" s="342"/>
    </row>
    <row r="16" spans="1:5">
      <c r="A16" s="168"/>
      <c r="B16" s="358"/>
      <c r="D16" s="342"/>
      <c r="E16" s="342"/>
    </row>
    <row r="17" spans="1:5">
      <c r="A17" s="169" t="s">
        <v>472</v>
      </c>
      <c r="B17" s="358"/>
      <c r="D17" s="342"/>
      <c r="E17" s="342"/>
    </row>
    <row r="18" spans="1:5">
      <c r="A18" s="232" t="s">
        <v>613</v>
      </c>
      <c r="B18" s="358"/>
      <c r="D18" s="342"/>
      <c r="E18" s="342"/>
    </row>
    <row r="19" spans="1:5">
      <c r="A19" s="232" t="s">
        <v>614</v>
      </c>
      <c r="B19" s="358"/>
    </row>
    <row r="20" spans="1:5">
      <c r="A20" s="231" t="s">
        <v>615</v>
      </c>
      <c r="B20" s="358"/>
    </row>
    <row r="21" spans="1:5">
      <c r="A21" s="168"/>
      <c r="B21" s="358"/>
    </row>
    <row r="22" spans="1:5">
      <c r="A22" s="169" t="s">
        <v>485</v>
      </c>
      <c r="B22" s="358"/>
    </row>
    <row r="23" spans="1:5">
      <c r="A23" s="231" t="s">
        <v>616</v>
      </c>
      <c r="B23" s="358"/>
    </row>
    <row r="24" spans="1:5">
      <c r="A24" s="163"/>
      <c r="B24" s="358"/>
    </row>
    <row r="25" spans="1:5">
      <c r="A25" s="169" t="s">
        <v>484</v>
      </c>
      <c r="B25" s="358"/>
    </row>
    <row r="26" spans="1:5">
      <c r="A26" s="231" t="s">
        <v>617</v>
      </c>
      <c r="B26" s="358"/>
    </row>
    <row r="27" spans="1:5">
      <c r="A27" s="231" t="s">
        <v>618</v>
      </c>
      <c r="B27" s="358"/>
    </row>
    <row r="28" spans="1:5">
      <c r="A28" s="163"/>
      <c r="B28" s="358"/>
    </row>
    <row r="29" spans="1:5">
      <c r="A29" s="169" t="s">
        <v>483</v>
      </c>
      <c r="B29" s="358"/>
    </row>
    <row r="30" spans="1:5">
      <c r="A30" s="231" t="s">
        <v>619</v>
      </c>
      <c r="B30" s="358"/>
    </row>
    <row r="31" spans="1:5">
      <c r="A31" s="231" t="s">
        <v>620</v>
      </c>
      <c r="B31" s="358"/>
    </row>
    <row r="32" spans="1:5">
      <c r="A32" s="231" t="s">
        <v>621</v>
      </c>
      <c r="B32" s="358"/>
    </row>
    <row r="33" spans="1:2">
      <c r="A33" s="231" t="s">
        <v>622</v>
      </c>
      <c r="B33" s="358"/>
    </row>
    <row r="34" spans="1:2">
      <c r="A34" s="163"/>
      <c r="B34" s="358"/>
    </row>
    <row r="35" spans="1:2">
      <c r="A35" s="169" t="s">
        <v>482</v>
      </c>
      <c r="B35" s="358"/>
    </row>
    <row r="36" spans="1:2">
      <c r="A36" s="231" t="s">
        <v>631</v>
      </c>
      <c r="B36" s="358"/>
    </row>
    <row r="37" spans="1:2">
      <c r="A37" s="231" t="s">
        <v>632</v>
      </c>
      <c r="B37" s="358"/>
    </row>
    <row r="38" spans="1:2">
      <c r="A38" s="231" t="s">
        <v>633</v>
      </c>
      <c r="B38" s="358"/>
    </row>
    <row r="39" spans="1:2">
      <c r="A39" s="231" t="s">
        <v>634</v>
      </c>
      <c r="B39" s="358"/>
    </row>
    <row r="40" spans="1:2">
      <c r="A40" s="10"/>
      <c r="B40" s="358"/>
    </row>
    <row r="41" spans="1:2">
      <c r="A41" s="169" t="s">
        <v>481</v>
      </c>
      <c r="B41" s="358"/>
    </row>
    <row r="42" spans="1:2">
      <c r="A42" s="232" t="s">
        <v>637</v>
      </c>
      <c r="B42" s="358"/>
    </row>
    <row r="43" spans="1:2">
      <c r="A43" s="231" t="s">
        <v>638</v>
      </c>
      <c r="B43" s="358"/>
    </row>
    <row r="44" spans="1:2">
      <c r="A44" s="231" t="s">
        <v>639</v>
      </c>
      <c r="B44" s="358"/>
    </row>
    <row r="45" spans="1:2">
      <c r="A45" s="231" t="s">
        <v>640</v>
      </c>
      <c r="B45" s="358"/>
    </row>
    <row r="46" spans="1:2">
      <c r="A46" s="10"/>
      <c r="B46" s="358"/>
    </row>
    <row r="47" spans="1:2">
      <c r="A47" s="169" t="s">
        <v>480</v>
      </c>
      <c r="B47" s="358"/>
    </row>
    <row r="48" spans="1:2">
      <c r="A48" s="231" t="s">
        <v>641</v>
      </c>
      <c r="B48" s="358"/>
    </row>
    <row r="49" spans="1:2">
      <c r="A49" s="231" t="s">
        <v>642</v>
      </c>
      <c r="B49" s="358"/>
    </row>
    <row r="50" spans="1:2">
      <c r="A50" s="231" t="s">
        <v>643</v>
      </c>
      <c r="B50" s="358"/>
    </row>
    <row r="51" spans="1:2">
      <c r="A51" s="10"/>
      <c r="B51" s="358"/>
    </row>
    <row r="52" spans="1:2">
      <c r="A52" s="169" t="s">
        <v>479</v>
      </c>
      <c r="B52" s="358"/>
    </row>
    <row r="53" spans="1:2">
      <c r="A53" s="231" t="s">
        <v>644</v>
      </c>
      <c r="B53" s="358"/>
    </row>
    <row r="54" spans="1:2">
      <c r="A54" s="232" t="s">
        <v>645</v>
      </c>
      <c r="B54" s="358"/>
    </row>
    <row r="55" spans="1:2">
      <c r="A55" s="232" t="s">
        <v>646</v>
      </c>
      <c r="B55" s="358"/>
    </row>
    <row r="56" spans="1:2">
      <c r="A56" s="232" t="s">
        <v>647</v>
      </c>
      <c r="B56" s="358"/>
    </row>
    <row r="57" spans="1:2">
      <c r="A57" s="45"/>
      <c r="B57" s="358"/>
    </row>
    <row r="58" spans="1:2">
      <c r="A58" s="169" t="s">
        <v>473</v>
      </c>
      <c r="B58" s="358"/>
    </row>
    <row r="59" spans="1:2">
      <c r="A59" s="232" t="s">
        <v>649</v>
      </c>
      <c r="B59" s="358"/>
    </row>
    <row r="60" spans="1:2">
      <c r="B60" s="358"/>
    </row>
    <row r="61" spans="1:2">
      <c r="A61" s="169" t="s">
        <v>476</v>
      </c>
      <c r="B61" s="358"/>
    </row>
    <row r="62" spans="1:2">
      <c r="A62" s="232" t="s">
        <v>578</v>
      </c>
      <c r="B62" s="358"/>
    </row>
    <row r="63" spans="1:2">
      <c r="A63" s="10"/>
      <c r="B63" s="358"/>
    </row>
    <row r="64" spans="1:2">
      <c r="A64" s="169" t="s">
        <v>475</v>
      </c>
      <c r="B64" s="358"/>
    </row>
    <row r="65" spans="1:4">
      <c r="A65" s="231" t="s">
        <v>651</v>
      </c>
      <c r="B65" s="358"/>
    </row>
    <row r="66" spans="1:4">
      <c r="A66" s="10"/>
      <c r="B66" s="358"/>
    </row>
    <row r="67" spans="1:4">
      <c r="A67" s="169" t="s">
        <v>474</v>
      </c>
      <c r="B67" s="358"/>
    </row>
    <row r="68" spans="1:4">
      <c r="A68" s="231" t="s">
        <v>675</v>
      </c>
      <c r="B68" s="358"/>
    </row>
    <row r="69" spans="1:4">
      <c r="A69" s="231" t="s">
        <v>676</v>
      </c>
      <c r="B69" s="358"/>
    </row>
    <row r="70" spans="1:4">
      <c r="A70" s="169"/>
      <c r="B70" s="358"/>
    </row>
    <row r="71" spans="1:4">
      <c r="A71" s="169" t="s">
        <v>477</v>
      </c>
      <c r="B71" s="358"/>
    </row>
    <row r="72" spans="1:4">
      <c r="A72" s="231" t="s">
        <v>677</v>
      </c>
      <c r="B72" s="358"/>
      <c r="D72" s="167"/>
    </row>
    <row r="73" spans="1:4">
      <c r="A73" s="231" t="s">
        <v>706</v>
      </c>
      <c r="B73" s="358"/>
      <c r="D73" s="167"/>
    </row>
    <row r="74" spans="1:4">
      <c r="A74" s="231" t="s">
        <v>710</v>
      </c>
      <c r="B74" s="358"/>
      <c r="D74" s="167"/>
    </row>
    <row r="75" spans="1:4">
      <c r="A75" s="231" t="s">
        <v>711</v>
      </c>
      <c r="B75" s="358"/>
      <c r="D75" s="167"/>
    </row>
    <row r="76" spans="1:4">
      <c r="A76" s="10"/>
      <c r="B76" s="358"/>
    </row>
    <row r="77" spans="1:4">
      <c r="A77" s="169" t="s">
        <v>478</v>
      </c>
      <c r="B77" s="358"/>
    </row>
    <row r="78" spans="1:4">
      <c r="A78" s="231" t="s">
        <v>707</v>
      </c>
      <c r="B78" s="358"/>
      <c r="D78" s="167"/>
    </row>
    <row r="79" spans="1:4">
      <c r="A79" s="231" t="s">
        <v>708</v>
      </c>
      <c r="B79" s="358"/>
    </row>
    <row r="80" spans="1:4">
      <c r="A80" s="231" t="s">
        <v>709</v>
      </c>
      <c r="B80" s="358"/>
    </row>
    <row r="81" spans="1:2">
      <c r="A81" s="10"/>
      <c r="B81" s="358"/>
    </row>
    <row r="82" spans="1:2">
      <c r="A82" s="45"/>
      <c r="B82" s="358"/>
    </row>
    <row r="83" spans="1:2">
      <c r="A83" s="45"/>
    </row>
  </sheetData>
  <hyperlinks>
    <hyperlink ref="A9" location="'tab01'!A1" display="Table 1--Soybean stocks:  On-farm, off-farm, and total U.S., by quarter, 1999/00-2018/19" xr:uid="{00000000-0004-0000-0000-000001000000}"/>
    <hyperlink ref="A12" location="'tab02'!A1" display="Table 2--Soybeans:  Acreage planted, harvested, yield, production, value, and loan rate, U.S., 1960-2018" xr:uid="{00000000-0004-0000-0000-000002000000}"/>
    <hyperlink ref="A13" location="'tab3'!A1" display="Table 3--Soybeans:  Supply, disappearance, and price, U.S., 1980/81-2018/19" xr:uid="{00000000-0004-0000-0000-000003000000}"/>
    <hyperlink ref="A14" location="'tab4'!A1" display="Table 4--Soybean meal:  Supply, disappearance, and price, U.S., 1980/81-2018/19" xr:uid="{00000000-0004-0000-0000-000004000000}"/>
    <hyperlink ref="A18" location="'tab6'!A1" display="Table 6--Soybeans: U.S. supply and disappearance, by crop year quarter, 2000/01-2018/19" xr:uid="{00000000-0004-0000-0000-000005000000}"/>
    <hyperlink ref="A19" location="'tab7'!A1" display="Table 7--Soybean meal:  Supply and disappearance, by month, U.S., 2007/08-2018/19" xr:uid="{00000000-0004-0000-0000-000006000000}"/>
    <hyperlink ref="A20" location="'tab8'!A1" display="Table 8--Soybean oil:  Supply and disappearance, by month, U.S., 2007/08-2018/19" xr:uid="{00000000-0004-0000-0000-000007000000}"/>
    <hyperlink ref="A23" location="'tab 9'!A1" display="Table 9--Soybeans: Monthly value of products per bushel of soybeans processed, and spot price spread, U.S., 1990/91-2018/19" xr:uid="{00000000-0004-0000-0000-000008000000}"/>
    <hyperlink ref="A26" location="'tab 10'!A1" display="Table 10--Peanuts:  Acreage planted, harvested, yield, production,  and  value, U.S., 1980-2018" xr:uid="{00000000-0004-0000-0000-000009000000}"/>
    <hyperlink ref="A27" location="'tab 11'!A1" display="Table 11--Peanuts (farmers' stock basis):  Supply, disappearance, and price, U.S., 1980/81-2018/19" xr:uid="{00000000-0004-0000-0000-00000A000000}"/>
    <hyperlink ref="A30" location="'tab 12'!A1" display="Table 12--Peanuts:  Planted acreage, by State and region, 1980-2018" xr:uid="{00000000-0004-0000-0000-00000B000000}"/>
    <hyperlink ref="A31" location="'tab 13'!A1" display="Table 13--Peanuts:  Harvested acreage, by State and region, 1980-2018" xr:uid="{00000000-0004-0000-0000-00000C000000}"/>
    <hyperlink ref="A32" location="'tab 14'!A1" display="Table 14--Peanuts:  U.S. production, by State and region, 1980-2018" xr:uid="{00000000-0004-0000-0000-00000D000000}"/>
    <hyperlink ref="A33" location="'tab 15'!A1" display="Table 15--Peanuts:  Yield per harvested acre, by State and region, 1980-2018" xr:uid="{00000000-0004-0000-0000-00000E000000}"/>
    <hyperlink ref="A36" location="'tab 16'!A1" display="Table 16--Cottonseed:  Acreage planted, harvested, yield, production, and value, U.S., 1980-2018" xr:uid="{00000000-0004-0000-0000-00000F000000}"/>
    <hyperlink ref="A37" location="'tab 17'!A1" display="Table 17--Cottonseed:  Supply, disappearance, and price, U.S., 1980/81-2018/19" xr:uid="{00000000-0004-0000-0000-000010000000}"/>
    <hyperlink ref="A38" location="'tab 18'!A1" display="Table 18--Cottonseed meal:  Supply, disappearance, and price, U.S., 1980/81-2018/19" xr:uid="{00000000-0004-0000-0000-000011000000}"/>
    <hyperlink ref="A39" location="'tab 19'!A1" display="Table 19--Cottonseed oil:  Supply, disappearance, and price, U.S., 1980/81-2018/19" xr:uid="{00000000-0004-0000-0000-000012000000}"/>
    <hyperlink ref="A42" location="'tab20'!A1" display="Table 20--Sunflowerseed: Acreage planted, harvested, yield, production, and value, U.S., 1980-2018" xr:uid="{00000000-0004-0000-0000-000013000000}"/>
    <hyperlink ref="A43" location="'tab21'!A1" display="Table 21--Sunflowerseed:  Supply, disappearance, and price, U.S., 1980/81-2018/19" xr:uid="{00000000-0004-0000-0000-000014000000}"/>
    <hyperlink ref="A44" location="'tab22'!A1" display="Table 22--Sunflowerseed meal:  Supply, disappearance, and price, U.S., 1980/81-2018/19" xr:uid="{00000000-0004-0000-0000-000015000000}"/>
    <hyperlink ref="A45" location="'tab23'!A1" display="Table 23--Sunflowerseed oil:  Supply, disappearance, and price, U.S., 1980/81-2018/19" xr:uid="{00000000-0004-0000-0000-000016000000}"/>
    <hyperlink ref="A48" location="'tab24'!A1" display="Table 24--Canola seed:  Acreage planted, harvested, yield, supply, disappearance, and value, U.S., 1991/92-2018/19" xr:uid="{00000000-0004-0000-0000-000017000000}"/>
    <hyperlink ref="A49" location="'tab25'!A1" display="Table 25--Canola oil:  Supply and disappearance, U.S., 1991/92-2018/19" xr:uid="{00000000-0004-0000-0000-000018000000}"/>
    <hyperlink ref="A50" location="'tab26'!A1" display="Table 26--Canola meal:  Supply and disappearance, U.S., 1991/92-2018/19" xr:uid="{00000000-0004-0000-0000-000019000000}"/>
    <hyperlink ref="A53" location="'tab27'!A1" display="Table 27--Flaxseed:  Acreage planted, harvested, yield, production, and value, U.S., 1980-2018" xr:uid="{00000000-0004-0000-0000-00001A000000}"/>
    <hyperlink ref="A54" location="'tab28'!A1" display="Table 28--Flaxseed: Supply, disappearance, and price, U.S., 1980/81-2018/19" xr:uid="{00000000-0004-0000-0000-00001B000000}"/>
    <hyperlink ref="A55" location="'tab29'!A1" display="Table 29--Linseed meal:  Supply disappearance and price, U.S., 1980/81-2018/19" xr:uid="{00000000-0004-0000-0000-00001C000000}"/>
    <hyperlink ref="A56" location="'tab30'!A1" display="Table 30--Linseed oil:  Supply, disappearance, and price, U.S., 1980/81-2018/19" xr:uid="{00000000-0004-0000-0000-00001D000000}"/>
    <hyperlink ref="A59" location="'tab31'!A1" display="Table 31--Edible fats and oils: U.S. Supply and disappearance, 2003/04-2018/19" xr:uid="{00000000-0004-0000-0000-00001E000000}"/>
    <hyperlink ref="A62" location="'tab32'!A1" display="Table 32--Corn oil:  Supply, disappearance, and price, U.S., 1980/81-2017/18" xr:uid="{00000000-0004-0000-0000-00001F000000}"/>
    <hyperlink ref="A65" location="'tab33(7)'!A1" display="Table 33--Prices:  Farm, wholesale, and index numbers of wholesale prices, by month, 2012-2018" xr:uid="{00000000-0004-0000-0000-000020000000}"/>
    <hyperlink ref="A68" location="'tab34'!A1" display="Table 34--Lard:  Supply, disappearance, and price, U.S., 1980-2018" xr:uid="{00000000-0004-0000-0000-000021000000}"/>
    <hyperlink ref="A69" location="'tab35'!A1" display="Table 35--Edible tallow:  Supply, disappearance, and price, U.S., 1980-2018" xr:uid="{00000000-0004-0000-0000-000022000000}"/>
    <hyperlink ref="A72" location="'tab36'!A1" display="Table 36--Supply and use: Soybeans, soybean meal, and soybean oil, U.S., major foreign exporters, importers, and world, 2014/15-2017/18 1/" xr:uid="{00000000-0004-0000-0000-000023000000}"/>
    <hyperlink ref="A78" location="'tab37'!A1" display="Table 37--World oilseed supply and distribution, 2012/13-2018/19" xr:uid="{00000000-0004-0000-0000-000024000000}"/>
    <hyperlink ref="A79" location="'tab38'!A1" display="Table 38--World vegetable oils supply and distribution, 2012/13-2018/19" xr:uid="{00000000-0004-0000-0000-000025000000}"/>
    <hyperlink ref="A80" location="'tab39'!A1" display="Table 39--World protein meal supply and distribution, 2012/13-2018/19" xr:uid="{00000000-0004-0000-0000-000026000000}"/>
    <hyperlink ref="A15" location="'tab5'!A1" display="Table 5--Soybean oil:  Supply, disappearance, and price, U.S., 1980/81-2018/19" xr:uid="{00000000-0004-0000-0000-000027000000}"/>
    <hyperlink ref="A73" location="'tab37'!A1" display="Table 37--U.S. soybean exports by selected destinations (1,000 metric tons)" xr:uid="{00000000-0004-0000-0000-000028000000}"/>
    <hyperlink ref="A74" location="'tab38'!A1" display="Table 38--U.S. soybean meal exports by selected destinations (1,000 metric tons)" xr:uid="{00000000-0004-0000-0000-000029000000}"/>
    <hyperlink ref="A75" location="'tab39'!A1" display="Table 39--U.S. soybean oil exports by selected destinations (1,000 metric tons)" xr:uid="{00000000-0004-0000-0000-00002A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42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3" customWidth="1"/>
    <col min="2" max="2" width="8.28515625" customWidth="1"/>
    <col min="4" max="5" width="8.28515625" customWidth="1"/>
    <col min="7" max="7" width="8.28515625" customWidth="1"/>
    <col min="13" max="13" width="9.7109375" customWidth="1"/>
    <col min="15" max="15" width="15.7109375" customWidth="1"/>
  </cols>
  <sheetData>
    <row r="1" spans="1:16">
      <c r="A1" s="114" t="s">
        <v>616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>
      <c r="N2" s="3"/>
      <c r="O2" s="181" t="s">
        <v>118</v>
      </c>
      <c r="P2" s="35"/>
    </row>
    <row r="3" spans="1:16">
      <c r="A3" t="s">
        <v>20</v>
      </c>
      <c r="N3" s="7" t="s">
        <v>214</v>
      </c>
      <c r="O3" s="7" t="s">
        <v>218</v>
      </c>
      <c r="P3" s="7"/>
    </row>
    <row r="4" spans="1:16">
      <c r="A4" t="s">
        <v>100</v>
      </c>
      <c r="C4" s="283"/>
      <c r="D4" s="178"/>
      <c r="F4" s="283" t="s">
        <v>211</v>
      </c>
      <c r="G4" s="283"/>
      <c r="H4" s="283"/>
      <c r="I4" s="283"/>
      <c r="J4" s="283"/>
      <c r="K4" s="7" t="s">
        <v>3</v>
      </c>
      <c r="L4" s="175" t="s">
        <v>219</v>
      </c>
      <c r="M4" s="283"/>
      <c r="N4" s="7" t="s">
        <v>215</v>
      </c>
      <c r="O4" s="7" t="s">
        <v>207</v>
      </c>
      <c r="P4" s="7"/>
    </row>
    <row r="5" spans="1:16">
      <c r="A5" t="s">
        <v>175</v>
      </c>
      <c r="B5" s="3"/>
      <c r="C5" s="271" t="s">
        <v>210</v>
      </c>
      <c r="D5" s="271"/>
      <c r="E5" s="3"/>
      <c r="F5" s="271" t="s">
        <v>206</v>
      </c>
      <c r="G5" s="271"/>
      <c r="H5" s="3"/>
      <c r="I5" s="268" t="s">
        <v>348</v>
      </c>
      <c r="J5" s="268"/>
      <c r="K5" s="7" t="s">
        <v>225</v>
      </c>
      <c r="L5" s="7" t="s">
        <v>213</v>
      </c>
      <c r="M5" s="7" t="s">
        <v>213</v>
      </c>
      <c r="N5" s="7" t="s">
        <v>216</v>
      </c>
      <c r="O5" s="7" t="s">
        <v>208</v>
      </c>
      <c r="P5" s="7"/>
    </row>
    <row r="6" spans="1:16">
      <c r="A6" s="1"/>
      <c r="B6" s="9" t="s">
        <v>64</v>
      </c>
      <c r="C6" s="9" t="s">
        <v>221</v>
      </c>
      <c r="D6" s="9" t="s">
        <v>67</v>
      </c>
      <c r="E6" s="9" t="s">
        <v>64</v>
      </c>
      <c r="F6" s="9" t="s">
        <v>224</v>
      </c>
      <c r="G6" s="9" t="s">
        <v>67</v>
      </c>
      <c r="H6" s="9" t="s">
        <v>64</v>
      </c>
      <c r="I6" s="9" t="s">
        <v>352</v>
      </c>
      <c r="J6" s="175" t="s">
        <v>67</v>
      </c>
      <c r="K6" s="1"/>
      <c r="L6" s="9" t="s">
        <v>212</v>
      </c>
      <c r="M6" s="9" t="s">
        <v>351</v>
      </c>
      <c r="N6" s="9" t="s">
        <v>217</v>
      </c>
      <c r="O6" s="35" t="s">
        <v>209</v>
      </c>
      <c r="P6" s="35"/>
    </row>
    <row r="7" spans="1:16" ht="12" customHeight="1">
      <c r="B7" s="7" t="s">
        <v>220</v>
      </c>
      <c r="C7" s="7" t="s">
        <v>222</v>
      </c>
      <c r="D7" s="7" t="s">
        <v>223</v>
      </c>
      <c r="E7" s="7" t="s">
        <v>220</v>
      </c>
      <c r="F7" s="308" t="s">
        <v>584</v>
      </c>
      <c r="G7" s="280"/>
      <c r="H7" s="7" t="s">
        <v>220</v>
      </c>
      <c r="I7" s="7" t="s">
        <v>287</v>
      </c>
      <c r="J7" s="7" t="s">
        <v>223</v>
      </c>
      <c r="K7" s="280" t="s">
        <v>585</v>
      </c>
      <c r="L7" s="308" t="s">
        <v>586</v>
      </c>
      <c r="M7" s="280"/>
      <c r="N7" s="65" t="s">
        <v>583</v>
      </c>
      <c r="O7" s="284"/>
      <c r="P7" s="156"/>
    </row>
    <row r="8" spans="1:16" ht="12" customHeight="1">
      <c r="B8" s="7"/>
      <c r="C8" s="7"/>
      <c r="D8" s="7"/>
      <c r="E8" s="7"/>
      <c r="F8" s="156"/>
      <c r="G8" s="156"/>
      <c r="H8" s="7"/>
      <c r="I8" s="7"/>
      <c r="J8" s="7"/>
      <c r="K8" s="156"/>
      <c r="L8" s="156"/>
      <c r="M8" s="156"/>
      <c r="N8" s="156"/>
      <c r="O8" s="156"/>
    </row>
    <row r="9" spans="1:16">
      <c r="A9" t="s">
        <v>10</v>
      </c>
      <c r="B9" s="40">
        <v>11.226666666666665</v>
      </c>
      <c r="C9" s="40">
        <v>21.31</v>
      </c>
      <c r="D9" s="42">
        <f t="shared" ref="D9:D14" si="0">(B9*C9)/100</f>
        <v>2.392402666666666</v>
      </c>
      <c r="E9" s="40">
        <v>47.472499999999997</v>
      </c>
      <c r="F9" s="40">
        <v>168.49</v>
      </c>
      <c r="G9" s="49">
        <f t="shared" ref="G9:G19" si="1">E9*F9/2000</f>
        <v>3.9993207625</v>
      </c>
      <c r="H9" s="171" t="s">
        <v>443</v>
      </c>
      <c r="I9" s="171" t="s">
        <v>443</v>
      </c>
      <c r="J9" s="171" t="s">
        <v>443</v>
      </c>
      <c r="K9" s="40">
        <f t="shared" ref="K9:K14" si="2">+D9+G9</f>
        <v>6.3917234291666656</v>
      </c>
      <c r="L9" s="40">
        <f t="shared" ref="L9:L15" si="3">+D9/K9</f>
        <v>0.37429696281126179</v>
      </c>
      <c r="M9" s="40">
        <f t="shared" ref="M9:M15" si="4">+G9/K9</f>
        <v>0.62570303718873832</v>
      </c>
      <c r="N9" s="40">
        <v>5.9</v>
      </c>
      <c r="O9" s="43">
        <f t="shared" ref="O9:O18" si="5">+K9-N9</f>
        <v>0.49172342916666523</v>
      </c>
    </row>
    <row r="10" spans="1:16">
      <c r="A10" t="s">
        <v>11</v>
      </c>
      <c r="B10" s="40">
        <v>11.415833333333333</v>
      </c>
      <c r="C10" s="40">
        <v>19.309999999999999</v>
      </c>
      <c r="D10" s="42">
        <f t="shared" si="0"/>
        <v>2.2043974166666667</v>
      </c>
      <c r="E10" s="40">
        <v>47.507170961244562</v>
      </c>
      <c r="F10" s="40">
        <v>177.7</v>
      </c>
      <c r="G10" s="49">
        <f t="shared" si="1"/>
        <v>4.2210121399065796</v>
      </c>
      <c r="H10" s="171" t="s">
        <v>443</v>
      </c>
      <c r="I10" s="171" t="s">
        <v>443</v>
      </c>
      <c r="J10" s="171" t="s">
        <v>443</v>
      </c>
      <c r="K10" s="40">
        <f t="shared" si="2"/>
        <v>6.4254095565732463</v>
      </c>
      <c r="L10" s="40">
        <f t="shared" si="3"/>
        <v>0.34307500514290956</v>
      </c>
      <c r="M10" s="40">
        <f t="shared" si="4"/>
        <v>0.65692499485709044</v>
      </c>
      <c r="N10" s="40">
        <v>5.84</v>
      </c>
      <c r="O10" s="43">
        <f t="shared" si="5"/>
        <v>0.58540955657324645</v>
      </c>
    </row>
    <row r="11" spans="1:16" ht="10.199999999999999" customHeight="1">
      <c r="A11" t="s">
        <v>12</v>
      </c>
      <c r="B11" s="42">
        <v>10.845000000000001</v>
      </c>
      <c r="C11" s="42">
        <v>21.01</v>
      </c>
      <c r="D11" s="42">
        <f t="shared" si="0"/>
        <v>2.2785345000000006</v>
      </c>
      <c r="E11" s="49">
        <v>47.538416188866989</v>
      </c>
      <c r="F11" s="49">
        <v>180.8</v>
      </c>
      <c r="G11" s="49">
        <f t="shared" si="1"/>
        <v>4.2974728234735755</v>
      </c>
      <c r="H11" s="171" t="s">
        <v>443</v>
      </c>
      <c r="I11" s="171" t="s">
        <v>443</v>
      </c>
      <c r="J11" s="171" t="s">
        <v>443</v>
      </c>
      <c r="K11" s="40">
        <f t="shared" si="2"/>
        <v>6.5760073234735756</v>
      </c>
      <c r="L11" s="40">
        <f t="shared" si="3"/>
        <v>0.34649208675096699</v>
      </c>
      <c r="M11" s="40">
        <f t="shared" si="4"/>
        <v>0.65350791324903301</v>
      </c>
      <c r="N11" s="49">
        <v>5.95</v>
      </c>
      <c r="O11" s="43">
        <f t="shared" si="5"/>
        <v>0.62600732347357546</v>
      </c>
    </row>
    <row r="12" spans="1:16" ht="10.199999999999999" customHeight="1">
      <c r="A12" t="s">
        <v>13</v>
      </c>
      <c r="B12" s="42">
        <f>13861008/1275648</f>
        <v>10.86585641180012</v>
      </c>
      <c r="C12" s="42">
        <v>26.74</v>
      </c>
      <c r="D12" s="42">
        <f t="shared" si="0"/>
        <v>2.9055300045153518</v>
      </c>
      <c r="E12" s="49">
        <f>(30370.2*2000)/1275648</f>
        <v>47.615329620710412</v>
      </c>
      <c r="F12" s="49">
        <v>182.65</v>
      </c>
      <c r="G12" s="49">
        <f t="shared" si="1"/>
        <v>4.3484699776113782</v>
      </c>
      <c r="H12" s="171" t="s">
        <v>443</v>
      </c>
      <c r="I12" s="171" t="s">
        <v>443</v>
      </c>
      <c r="J12" s="171" t="s">
        <v>443</v>
      </c>
      <c r="K12" s="40">
        <f t="shared" si="2"/>
        <v>7.2539999821267305</v>
      </c>
      <c r="L12" s="40">
        <f t="shared" si="3"/>
        <v>0.40054177166726534</v>
      </c>
      <c r="M12" s="40">
        <f t="shared" si="4"/>
        <v>0.59945822833273454</v>
      </c>
      <c r="N12" s="42">
        <v>6.59</v>
      </c>
      <c r="O12" s="43">
        <f t="shared" si="5"/>
        <v>0.66399998212673061</v>
      </c>
    </row>
    <row r="13" spans="1:16">
      <c r="A13" t="s">
        <v>14</v>
      </c>
      <c r="B13" s="42">
        <f>15572418/1405156</f>
        <v>11.082341035443751</v>
      </c>
      <c r="C13" s="42">
        <v>27.5</v>
      </c>
      <c r="D13" s="42">
        <f t="shared" si="0"/>
        <v>3.0476437847470317</v>
      </c>
      <c r="E13" s="49">
        <f>(33250.7*2000)/1405156</f>
        <v>47.326702515592572</v>
      </c>
      <c r="F13" s="49">
        <v>151.77000000000001</v>
      </c>
      <c r="G13" s="49">
        <f t="shared" si="1"/>
        <v>3.5913868203957429</v>
      </c>
      <c r="H13" s="171" t="s">
        <v>443</v>
      </c>
      <c r="I13" s="171" t="s">
        <v>443</v>
      </c>
      <c r="J13" s="171" t="s">
        <v>443</v>
      </c>
      <c r="K13" s="40">
        <f t="shared" si="2"/>
        <v>6.639030605142775</v>
      </c>
      <c r="L13" s="40">
        <f t="shared" si="3"/>
        <v>0.45904951581127573</v>
      </c>
      <c r="M13" s="40">
        <f t="shared" si="4"/>
        <v>0.54095048418872427</v>
      </c>
      <c r="N13" s="42">
        <v>5.73</v>
      </c>
      <c r="O13" s="43">
        <f t="shared" si="5"/>
        <v>0.90903060514277456</v>
      </c>
    </row>
    <row r="14" spans="1:16">
      <c r="A14" t="s">
        <v>15</v>
      </c>
      <c r="B14" s="42">
        <f>(15275787*60)/(41086.224*2000)</f>
        <v>11.153948097055597</v>
      </c>
      <c r="C14" s="42">
        <v>24.9</v>
      </c>
      <c r="D14" s="42">
        <f t="shared" si="0"/>
        <v>2.7773330761668431</v>
      </c>
      <c r="E14" s="49">
        <f>(30333276+2325473)*60/41086224</f>
        <v>47.692991694734467</v>
      </c>
      <c r="F14" s="49">
        <v>217.27</v>
      </c>
      <c r="G14" s="49">
        <f t="shared" si="1"/>
        <v>5.1811281527574788</v>
      </c>
      <c r="H14" s="171" t="s">
        <v>443</v>
      </c>
      <c r="I14" s="171" t="s">
        <v>443</v>
      </c>
      <c r="J14" s="171" t="s">
        <v>443</v>
      </c>
      <c r="K14" s="40">
        <f t="shared" si="2"/>
        <v>7.958461228924322</v>
      </c>
      <c r="L14" s="40">
        <f t="shared" si="3"/>
        <v>0.34897865256575883</v>
      </c>
      <c r="M14" s="40">
        <f t="shared" si="4"/>
        <v>0.65102134743424112</v>
      </c>
      <c r="N14" s="40">
        <v>7.39</v>
      </c>
      <c r="O14" s="43">
        <f t="shared" si="5"/>
        <v>0.56846122892432227</v>
      </c>
    </row>
    <row r="15" spans="1:16">
      <c r="A15" t="s">
        <v>16</v>
      </c>
      <c r="B15" s="42">
        <f>(15664400*60)/(43078.871*2000)</f>
        <v>10.908642429371001</v>
      </c>
      <c r="C15" s="42">
        <v>22.6</v>
      </c>
      <c r="D15" s="42">
        <f t="shared" ref="D15:D22" si="6">(B15*C15)/100</f>
        <v>2.4653531890378466</v>
      </c>
      <c r="E15" s="49">
        <f>(31680021+2326505)*60/43078871</f>
        <v>47.364090855584401</v>
      </c>
      <c r="F15" s="49">
        <v>260.38</v>
      </c>
      <c r="G15" s="49">
        <f t="shared" si="1"/>
        <v>6.1663309884885331</v>
      </c>
      <c r="H15" s="171" t="s">
        <v>443</v>
      </c>
      <c r="I15" s="171" t="s">
        <v>443</v>
      </c>
      <c r="J15" s="171" t="s">
        <v>443</v>
      </c>
      <c r="K15" s="40">
        <f>D15+G15</f>
        <v>8.6316841775263793</v>
      </c>
      <c r="L15" s="40">
        <f t="shared" si="3"/>
        <v>0.28561670449628918</v>
      </c>
      <c r="M15" s="40">
        <f t="shared" si="4"/>
        <v>0.71438329550371094</v>
      </c>
      <c r="N15" s="40">
        <v>7.8</v>
      </c>
      <c r="O15" s="43">
        <f t="shared" si="5"/>
        <v>0.83168417752637946</v>
      </c>
    </row>
    <row r="16" spans="1:16">
      <c r="A16" t="s">
        <v>17</v>
      </c>
      <c r="B16" s="42">
        <f>(17963296*60)/(47909.41*2000)</f>
        <v>11.248288801719745</v>
      </c>
      <c r="C16" s="42">
        <v>25.65</v>
      </c>
      <c r="D16" s="42">
        <f t="shared" si="6"/>
        <v>2.8851860776411145</v>
      </c>
      <c r="E16" s="49">
        <f>(35243382+2613338)*60/47909410</f>
        <v>47.410377209821618</v>
      </c>
      <c r="F16" s="49">
        <v>186.55</v>
      </c>
      <c r="G16" s="49">
        <f t="shared" si="1"/>
        <v>4.422202934246112</v>
      </c>
      <c r="H16" s="171" t="s">
        <v>443</v>
      </c>
      <c r="I16" s="171" t="s">
        <v>443</v>
      </c>
      <c r="J16" s="171" t="s">
        <v>443</v>
      </c>
      <c r="K16" s="40">
        <f>D16+G16</f>
        <v>7.307389011887226</v>
      </c>
      <c r="L16" s="40">
        <f>D16/K16</f>
        <v>0.39483132387610204</v>
      </c>
      <c r="M16" s="40">
        <f>G16/K16</f>
        <v>0.60516867612389802</v>
      </c>
      <c r="N16" s="40">
        <v>6.64</v>
      </c>
      <c r="O16" s="43">
        <f t="shared" si="5"/>
        <v>0.66738901188722632</v>
      </c>
    </row>
    <row r="17" spans="1:17">
      <c r="A17" t="s">
        <v>18</v>
      </c>
      <c r="B17" s="42">
        <f>(17960000*60)/(47693.6*2000)</f>
        <v>11.297113239512219</v>
      </c>
      <c r="C17" s="42">
        <v>20.49</v>
      </c>
      <c r="D17" s="42">
        <f t="shared" si="6"/>
        <v>2.3147785027760537</v>
      </c>
      <c r="E17" s="49">
        <f>(35050200+2509215)*60/47693600</f>
        <v>47.250886911451431</v>
      </c>
      <c r="F17" s="49">
        <v>130.56</v>
      </c>
      <c r="G17" s="49">
        <f t="shared" si="1"/>
        <v>3.0845378975795494</v>
      </c>
      <c r="H17" s="171" t="s">
        <v>443</v>
      </c>
      <c r="I17" s="171" t="s">
        <v>443</v>
      </c>
      <c r="J17" s="171" t="s">
        <v>443</v>
      </c>
      <c r="K17" s="40">
        <f>D17+G17</f>
        <v>5.3993164003556036</v>
      </c>
      <c r="L17" s="40">
        <f>D17/K17</f>
        <v>0.42871695806224663</v>
      </c>
      <c r="M17" s="40">
        <f>G17/K17</f>
        <v>0.57128304193775326</v>
      </c>
      <c r="N17" s="40">
        <v>5</v>
      </c>
      <c r="O17" s="43">
        <f t="shared" si="5"/>
        <v>0.39931640035560356</v>
      </c>
    </row>
    <row r="18" spans="1:17">
      <c r="A18" t="s">
        <v>198</v>
      </c>
      <c r="B18" s="42">
        <f>(17887147*60)/(47319.5*2000)</f>
        <v>11.340238379526411</v>
      </c>
      <c r="C18" s="42">
        <v>15.81</v>
      </c>
      <c r="D18" s="42">
        <f t="shared" si="6"/>
        <v>1.7928916878031256</v>
      </c>
      <c r="E18" s="49">
        <f>(34950200+2719091)*60/47319500</f>
        <v>47.763764621350603</v>
      </c>
      <c r="F18" s="49">
        <v>158.04</v>
      </c>
      <c r="G18" s="49">
        <f t="shared" si="1"/>
        <v>3.7742926803791241</v>
      </c>
      <c r="H18" s="171" t="s">
        <v>443</v>
      </c>
      <c r="I18" s="171" t="s">
        <v>443</v>
      </c>
      <c r="J18" s="171" t="s">
        <v>443</v>
      </c>
      <c r="K18" s="40">
        <f>D18+G18</f>
        <v>5.5671843681822502</v>
      </c>
      <c r="L18" s="40">
        <f>G18/K18</f>
        <v>0.67795359930058763</v>
      </c>
      <c r="M18" s="40">
        <f>D18/K18</f>
        <v>0.32204640069941232</v>
      </c>
      <c r="N18" s="40">
        <v>4.9024999999999999</v>
      </c>
      <c r="O18" s="43">
        <f t="shared" si="5"/>
        <v>0.6646843681822503</v>
      </c>
    </row>
    <row r="19" spans="1:17">
      <c r="A19" t="s">
        <v>333</v>
      </c>
      <c r="B19" s="42">
        <f>(18433200*60)/(49189.1*2000)</f>
        <v>11.242246757919945</v>
      </c>
      <c r="C19" s="42">
        <v>13.99</v>
      </c>
      <c r="D19" s="42">
        <f t="shared" si="6"/>
        <v>1.5727903214330003</v>
      </c>
      <c r="E19" s="128">
        <f>(36703167+2694848)*60/49189100</f>
        <v>48.057006531934924</v>
      </c>
      <c r="F19" s="128">
        <v>165.6</v>
      </c>
      <c r="G19" s="128">
        <f t="shared" si="1"/>
        <v>3.9791201408442118</v>
      </c>
      <c r="H19" s="171" t="s">
        <v>443</v>
      </c>
      <c r="I19" s="171" t="s">
        <v>443</v>
      </c>
      <c r="J19" s="171" t="s">
        <v>443</v>
      </c>
      <c r="K19" s="40">
        <f>D19+G19</f>
        <v>5.5519104622772124</v>
      </c>
      <c r="L19" s="42">
        <f>'tab 9'!D19/K19</f>
        <v>0.28328812795512792</v>
      </c>
      <c r="M19" s="42">
        <f>'tab 9'!G19/K19</f>
        <v>0.71671187204487208</v>
      </c>
      <c r="N19" s="42">
        <v>4.7708333333333339</v>
      </c>
      <c r="O19" s="50">
        <f t="shared" ref="O19:O24" si="7">K19-N19</f>
        <v>0.78107712894387848</v>
      </c>
      <c r="P19" s="53"/>
      <c r="Q19" s="43"/>
    </row>
    <row r="20" spans="1:17">
      <c r="A20" t="s">
        <v>341</v>
      </c>
      <c r="B20" s="42">
        <f>(18936905*60)/(50992.002*2000)</f>
        <v>11.141103069457834</v>
      </c>
      <c r="C20" s="42">
        <v>16.05</v>
      </c>
      <c r="D20" s="42">
        <f t="shared" si="6"/>
        <v>1.7881470426479824</v>
      </c>
      <c r="E20" s="49">
        <f>(37624201)*60/50992002</f>
        <v>44.270708571120622</v>
      </c>
      <c r="F20" s="128">
        <v>166.56</v>
      </c>
      <c r="G20" s="128">
        <f>E20*F20/2000</f>
        <v>3.6868646098029254</v>
      </c>
      <c r="H20" s="53">
        <f>(2833142*60)/50992002</f>
        <v>3.3336310270775407</v>
      </c>
      <c r="I20" s="53">
        <v>61.332500000000003</v>
      </c>
      <c r="J20" s="90">
        <f>H20*I20/2000</f>
        <v>0.10222996248411664</v>
      </c>
      <c r="K20" s="40">
        <f>D20+G20+J20</f>
        <v>5.5772416149350246</v>
      </c>
      <c r="L20" s="40">
        <f>D20/K20</f>
        <v>0.32061495020398439</v>
      </c>
      <c r="M20" s="42">
        <f>(+G20+J20)/K20</f>
        <v>0.67938504979601566</v>
      </c>
      <c r="N20" s="42">
        <v>4.7858333333333336</v>
      </c>
      <c r="O20" s="50">
        <f t="shared" si="7"/>
        <v>0.79140828160169097</v>
      </c>
    </row>
    <row r="21" spans="1:17">
      <c r="A21" t="s">
        <v>353</v>
      </c>
      <c r="B21" s="42">
        <f>(18406694*60)/(48463.925*2000)</f>
        <v>11.394058983047699</v>
      </c>
      <c r="C21" s="42">
        <v>21.8</v>
      </c>
      <c r="D21" s="42">
        <f t="shared" si="6"/>
        <v>2.4839048583043986</v>
      </c>
      <c r="E21" s="49">
        <f>(35460773*60)/48463925</f>
        <v>43.901652208317834</v>
      </c>
      <c r="F21" s="128">
        <v>178.87</v>
      </c>
      <c r="G21" s="128">
        <f>E21*F21/2000</f>
        <v>3.9263442652509055</v>
      </c>
      <c r="H21" s="53">
        <f>(2639934*60)/48463925</f>
        <v>3.2683287620637413</v>
      </c>
      <c r="I21" s="53">
        <v>66.002499999999998</v>
      </c>
      <c r="J21" s="90">
        <f>H21*I21/2000</f>
        <v>0.10785893455905604</v>
      </c>
      <c r="K21" s="40">
        <f>D21+G21+J21</f>
        <v>6.5181080581143602</v>
      </c>
      <c r="L21" s="40">
        <f>D21/K21</f>
        <v>0.38107758204655684</v>
      </c>
      <c r="M21" s="42">
        <f>(+G21+J21)/K21</f>
        <v>0.61892241795344305</v>
      </c>
      <c r="N21" s="42">
        <v>5.8975</v>
      </c>
      <c r="O21" s="50">
        <f t="shared" si="7"/>
        <v>0.62060805811436026</v>
      </c>
    </row>
    <row r="22" spans="1:17">
      <c r="A22" t="s">
        <v>363</v>
      </c>
      <c r="B22" s="42">
        <f>(17134534*60)/(45892.321*2000)</f>
        <v>11.200915726184343</v>
      </c>
      <c r="C22" s="42">
        <v>29.74</v>
      </c>
      <c r="D22" s="42">
        <f t="shared" si="6"/>
        <v>3.3311523369672233</v>
      </c>
      <c r="E22" s="49">
        <f>(33896303*60)/45892321</f>
        <v>44.316306861010581</v>
      </c>
      <c r="F22" s="128">
        <v>259.58999999999997</v>
      </c>
      <c r="G22" s="128">
        <f>E22*F22/2000</f>
        <v>5.7520350490248671</v>
      </c>
      <c r="H22" s="53">
        <f>(2578876*60)/45892321</f>
        <v>3.3716438094294685</v>
      </c>
      <c r="I22" s="53">
        <v>77.334999999999994</v>
      </c>
      <c r="J22" s="90">
        <f>H22*I22/2000</f>
        <v>0.13037303700111397</v>
      </c>
      <c r="K22" s="40">
        <f>D22+G22+J22</f>
        <v>9.2135604229932042</v>
      </c>
      <c r="L22" s="40">
        <f>D22/K22</f>
        <v>0.36154886754246018</v>
      </c>
      <c r="M22" s="42">
        <f>(+G22+J22)/K22</f>
        <v>0.63845113245753982</v>
      </c>
      <c r="N22" s="42">
        <v>8.2191666666666663</v>
      </c>
      <c r="O22" s="50">
        <f t="shared" si="7"/>
        <v>0.99439375632653793</v>
      </c>
    </row>
    <row r="23" spans="1:17">
      <c r="A23" t="s">
        <v>366</v>
      </c>
      <c r="B23" s="42">
        <f>(19223995*60)/(50897.425*2000)</f>
        <v>11.331022148959402</v>
      </c>
      <c r="C23" s="42">
        <v>23.24</v>
      </c>
      <c r="D23" s="42">
        <f>(B23*C23)/100</f>
        <v>2.6333295474181648</v>
      </c>
      <c r="E23" s="49">
        <f>(37548458*60)/50897425</f>
        <v>44.263682887690294</v>
      </c>
      <c r="F23" s="128">
        <v>182.91333333333333</v>
      </c>
      <c r="G23" s="128">
        <f>E23*F23/2000</f>
        <v>4.048208891298529</v>
      </c>
      <c r="H23" s="53">
        <f>(2895378*60)/50897425</f>
        <v>3.4131919247388254</v>
      </c>
      <c r="I23" s="53">
        <v>56.531666666666666</v>
      </c>
      <c r="J23" s="90">
        <f>H23*I23/2000</f>
        <v>9.6476714079346854E-2</v>
      </c>
      <c r="K23" s="40">
        <f>D23+G23+J23</f>
        <v>6.7780151527960406</v>
      </c>
      <c r="L23" s="40">
        <f>D23/K23</f>
        <v>0.38851042496295896</v>
      </c>
      <c r="M23" s="42">
        <f>(+G23+J23)/K23</f>
        <v>0.61148957503704104</v>
      </c>
      <c r="N23" s="42">
        <v>5.9833333333333334</v>
      </c>
      <c r="O23" s="50">
        <f t="shared" si="7"/>
        <v>0.79468181946270722</v>
      </c>
      <c r="P23" s="50"/>
    </row>
    <row r="24" spans="1:17">
      <c r="A24" t="s">
        <v>385</v>
      </c>
      <c r="B24" s="42">
        <f>(20237322*60)/(52165.552*2000)</f>
        <v>11.63832523041259</v>
      </c>
      <c r="C24" s="42">
        <v>23.38</v>
      </c>
      <c r="D24" s="42">
        <f>(B24*C24)/100</f>
        <v>2.7210404388704639</v>
      </c>
      <c r="E24" s="49">
        <f>(38111108*60)/52165552</f>
        <v>43.834798872635339</v>
      </c>
      <c r="F24" s="128">
        <v>174.71</v>
      </c>
      <c r="G24" s="128">
        <f>E24*F24/2000</f>
        <v>3.8291888555190603</v>
      </c>
      <c r="H24" s="53">
        <f>(2935377*60)/52165552</f>
        <v>3.3762246012464319</v>
      </c>
      <c r="I24" s="53">
        <v>68.989999999999995</v>
      </c>
      <c r="J24" s="90">
        <f>H24*I24/2000</f>
        <v>0.11646286761999566</v>
      </c>
      <c r="K24" s="40">
        <f>D24+G24+J24</f>
        <v>6.6666921620095199</v>
      </c>
      <c r="L24" s="40">
        <f>D24/K24</f>
        <v>0.40815450492471356</v>
      </c>
      <c r="M24" s="42">
        <f>(+G24+J24)/K24</f>
        <v>0.59184549507528639</v>
      </c>
      <c r="N24" s="42">
        <v>5.7</v>
      </c>
      <c r="O24" s="50">
        <f t="shared" si="7"/>
        <v>0.96669216200951968</v>
      </c>
    </row>
    <row r="25" spans="1:17">
      <c r="B25" s="42"/>
      <c r="C25" s="42"/>
      <c r="D25" s="42"/>
      <c r="E25" s="49"/>
      <c r="F25" s="128"/>
      <c r="G25" s="128"/>
      <c r="H25" s="53"/>
      <c r="I25" s="53"/>
      <c r="J25" s="90"/>
      <c r="K25" s="40"/>
      <c r="L25" s="40"/>
      <c r="M25" s="42"/>
      <c r="N25" s="42"/>
      <c r="O25" s="50"/>
    </row>
    <row r="26" spans="1:17">
      <c r="A26" t="s">
        <v>400</v>
      </c>
      <c r="B26" s="42"/>
      <c r="C26" s="40"/>
      <c r="D26" s="90"/>
      <c r="E26" s="128"/>
      <c r="F26" s="40"/>
      <c r="G26" s="49"/>
      <c r="H26" s="53"/>
      <c r="I26" s="53"/>
      <c r="J26" s="90"/>
      <c r="K26" s="42"/>
      <c r="L26" s="42"/>
      <c r="M26" s="42"/>
      <c r="N26" s="42"/>
      <c r="O26" s="50"/>
    </row>
    <row r="27" spans="1:17">
      <c r="A27" t="s">
        <v>186</v>
      </c>
      <c r="B27" s="42">
        <f>(1684058*60)/(4270.987*2000)</f>
        <v>11.829054970197756</v>
      </c>
      <c r="C27" s="40">
        <v>23.54</v>
      </c>
      <c r="D27" s="42">
        <f t="shared" ref="D27:D39" si="8">(B27*C27)/100</f>
        <v>2.784559539984552</v>
      </c>
      <c r="E27" s="49">
        <f>(3107826*60)/4270987</f>
        <v>43.659594374789712</v>
      </c>
      <c r="F27" s="40">
        <v>168.87</v>
      </c>
      <c r="G27" s="49">
        <f t="shared" ref="G27:G39" si="9">E27*F27/2000</f>
        <v>3.6863978510353697</v>
      </c>
      <c r="H27" s="53">
        <f>(246680*60)/4270987</f>
        <v>3.4654284829244388</v>
      </c>
      <c r="I27" s="53">
        <v>80.13</v>
      </c>
      <c r="J27" s="53">
        <f t="shared" ref="J27:J39" si="10">H27*I27/2000</f>
        <v>0.13884239216836763</v>
      </c>
      <c r="K27" s="40">
        <f t="shared" ref="K27:K39" si="11">D27+G27+J27</f>
        <v>6.6097997831882891</v>
      </c>
      <c r="L27" s="40">
        <f t="shared" ref="L27:L39" si="12">D27/K27</f>
        <v>0.42127744127241895</v>
      </c>
      <c r="M27" s="42">
        <f t="shared" ref="M27:M39" si="13">(+G27+J27)/K27</f>
        <v>0.57872255872758105</v>
      </c>
      <c r="N27" s="42">
        <v>5.35</v>
      </c>
      <c r="O27" s="50">
        <f t="shared" ref="O27:O39" si="14">K27-N27</f>
        <v>1.2597997831882894</v>
      </c>
    </row>
    <row r="28" spans="1:17">
      <c r="A28" t="s">
        <v>187</v>
      </c>
      <c r="B28" s="42">
        <f>(1829500*60)/(4852.211*2000)</f>
        <v>11.311338274448493</v>
      </c>
      <c r="C28" s="40">
        <v>24.8</v>
      </c>
      <c r="D28" s="42">
        <f t="shared" si="8"/>
        <v>2.8052118920632263</v>
      </c>
      <c r="E28" s="49">
        <f>(3560000*60)/4852211</f>
        <v>44.021168906298591</v>
      </c>
      <c r="F28" s="40">
        <v>177.71</v>
      </c>
      <c r="G28" s="49">
        <f t="shared" si="9"/>
        <v>3.9115009631691615</v>
      </c>
      <c r="H28" s="53">
        <f>(263200*60)/4852211</f>
        <v>3.2545987798139859</v>
      </c>
      <c r="I28" s="53">
        <v>81.13</v>
      </c>
      <c r="J28" s="53">
        <f t="shared" si="10"/>
        <v>0.13202279950315435</v>
      </c>
      <c r="K28" s="40">
        <f t="shared" si="11"/>
        <v>6.8487356547355418</v>
      </c>
      <c r="L28" s="40">
        <f t="shared" si="12"/>
        <v>0.40959558573757615</v>
      </c>
      <c r="M28" s="42">
        <f t="shared" si="13"/>
        <v>0.59040441426242396</v>
      </c>
      <c r="N28" s="42">
        <v>5.8</v>
      </c>
      <c r="O28" s="50">
        <f t="shared" si="14"/>
        <v>1.048735654735542</v>
      </c>
    </row>
    <row r="29" spans="1:17">
      <c r="A29" t="s">
        <v>188</v>
      </c>
      <c r="B29" s="42">
        <f>(1724959*60)/(4652.901*2000)</f>
        <v>11.121829155617108</v>
      </c>
      <c r="C29" s="40">
        <v>27.64</v>
      </c>
      <c r="D29" s="42">
        <f t="shared" si="8"/>
        <v>3.0740735786125692</v>
      </c>
      <c r="E29" s="49">
        <f>(3411691*60)/4652901</f>
        <v>43.994372543065069</v>
      </c>
      <c r="F29" s="40">
        <v>190.67</v>
      </c>
      <c r="G29" s="49">
        <f t="shared" si="9"/>
        <v>4.1942035063931078</v>
      </c>
      <c r="H29" s="53">
        <f>(260253*60)/4652901</f>
        <v>3.3560095089063791</v>
      </c>
      <c r="I29" s="53">
        <v>90.4</v>
      </c>
      <c r="J29" s="53">
        <f t="shared" si="10"/>
        <v>0.15169162980256834</v>
      </c>
      <c r="K29" s="40">
        <f t="shared" si="11"/>
        <v>7.4199687148082454</v>
      </c>
      <c r="L29" s="40">
        <f t="shared" si="12"/>
        <v>0.41429737735653144</v>
      </c>
      <c r="M29" s="42">
        <f t="shared" si="13"/>
        <v>0.58570262264346851</v>
      </c>
      <c r="N29" s="42">
        <v>6.61</v>
      </c>
      <c r="O29" s="50">
        <f t="shared" si="14"/>
        <v>0.80996871480824506</v>
      </c>
    </row>
    <row r="30" spans="1:17">
      <c r="A30" t="s">
        <v>189</v>
      </c>
      <c r="B30" s="42">
        <f>(1771000*60)/(4714.486*2000)</f>
        <v>11.269521216098637</v>
      </c>
      <c r="C30" s="40">
        <v>27.63</v>
      </c>
      <c r="D30" s="42">
        <f t="shared" si="8"/>
        <v>3.1137687120080533</v>
      </c>
      <c r="E30" s="49">
        <f>(3466300*60)/4714486</f>
        <v>44.114671249421463</v>
      </c>
      <c r="F30" s="40">
        <v>180.63</v>
      </c>
      <c r="G30" s="49">
        <f t="shared" si="9"/>
        <v>3.9842165338914994</v>
      </c>
      <c r="H30" s="53">
        <f>(266656*60)/4714486</f>
        <v>3.3936594572557857</v>
      </c>
      <c r="I30" s="53">
        <v>125.75</v>
      </c>
      <c r="J30" s="53">
        <f t="shared" si="10"/>
        <v>0.21337633837495754</v>
      </c>
      <c r="K30" s="40">
        <f t="shared" si="11"/>
        <v>7.3113615842745103</v>
      </c>
      <c r="L30" s="40">
        <f t="shared" si="12"/>
        <v>0.42588082617952283</v>
      </c>
      <c r="M30" s="42">
        <f t="shared" si="13"/>
        <v>0.57411917382047717</v>
      </c>
      <c r="N30" s="42">
        <v>6.57</v>
      </c>
      <c r="O30" s="50">
        <f t="shared" si="14"/>
        <v>0.74136158427451004</v>
      </c>
    </row>
    <row r="31" spans="1:17">
      <c r="A31" t="s">
        <v>190</v>
      </c>
      <c r="B31" s="42">
        <f>(1746272*60)/(4659.544*2000)</f>
        <v>11.243194613035095</v>
      </c>
      <c r="C31" s="40">
        <v>28</v>
      </c>
      <c r="D31" s="42">
        <f t="shared" si="8"/>
        <v>3.1480944916498266</v>
      </c>
      <c r="E31" s="49">
        <f>(3423956*60)/4659544</f>
        <v>44.089584731896515</v>
      </c>
      <c r="F31" s="40">
        <v>190.36</v>
      </c>
      <c r="G31" s="49">
        <f t="shared" si="9"/>
        <v>4.1964466747819102</v>
      </c>
      <c r="H31" s="53">
        <f>(269336*60)/4659544</f>
        <v>3.4681848695923891</v>
      </c>
      <c r="I31" s="53">
        <v>122.13</v>
      </c>
      <c r="J31" s="53">
        <f t="shared" si="10"/>
        <v>0.21178470906165925</v>
      </c>
      <c r="K31" s="40">
        <f t="shared" si="11"/>
        <v>7.5563258754933962</v>
      </c>
      <c r="L31" s="40">
        <f t="shared" si="12"/>
        <v>0.4166170892469972</v>
      </c>
      <c r="M31" s="42">
        <f t="shared" si="13"/>
        <v>0.58338291075300275</v>
      </c>
      <c r="N31" s="42">
        <v>6.83</v>
      </c>
      <c r="O31" s="50">
        <f t="shared" si="14"/>
        <v>0.72632587549339611</v>
      </c>
    </row>
    <row r="32" spans="1:17">
      <c r="A32" t="s">
        <v>191</v>
      </c>
      <c r="B32" s="42">
        <f>(1547206*60)/(4102.777*2000)</f>
        <v>11.313356782491468</v>
      </c>
      <c r="C32" s="40">
        <v>28.94</v>
      </c>
      <c r="D32" s="42">
        <f t="shared" si="8"/>
        <v>3.274085452853031</v>
      </c>
      <c r="E32" s="49">
        <f>(3013821*60)/4102777</f>
        <v>44.074844916016637</v>
      </c>
      <c r="F32" s="40">
        <v>208.81</v>
      </c>
      <c r="G32" s="49">
        <f t="shared" si="9"/>
        <v>4.6016341834567172</v>
      </c>
      <c r="H32" s="53">
        <f>(238787*60)/4102777</f>
        <v>3.4920786579431442</v>
      </c>
      <c r="I32" s="53">
        <v>109.21</v>
      </c>
      <c r="J32" s="53">
        <f t="shared" si="10"/>
        <v>0.19068495511698538</v>
      </c>
      <c r="K32" s="40">
        <f t="shared" si="11"/>
        <v>8.0664045914267337</v>
      </c>
      <c r="L32" s="40">
        <f t="shared" si="12"/>
        <v>0.40589154879893419</v>
      </c>
      <c r="M32" s="42">
        <f t="shared" si="13"/>
        <v>0.59410845120106581</v>
      </c>
      <c r="N32" s="42">
        <v>7.35</v>
      </c>
      <c r="O32" s="50">
        <f t="shared" si="14"/>
        <v>0.71640459142673407</v>
      </c>
    </row>
    <row r="33" spans="1:15">
      <c r="A33" t="s">
        <v>192</v>
      </c>
      <c r="B33" s="42">
        <f>(1764256*60)/(4672.487*2000)</f>
        <v>11.327517872173855</v>
      </c>
      <c r="C33" s="40">
        <v>29.74</v>
      </c>
      <c r="D33" s="42">
        <f t="shared" si="8"/>
        <v>3.3688038151845046</v>
      </c>
      <c r="E33" s="49">
        <f>(3442603*60)/4672487</f>
        <v>44.206903090367078</v>
      </c>
      <c r="F33" s="40">
        <v>205.26</v>
      </c>
      <c r="G33" s="49">
        <f t="shared" si="9"/>
        <v>4.5369544641643733</v>
      </c>
      <c r="H33" s="53">
        <f>(269686*60)/4672487</f>
        <v>3.4630722354069685</v>
      </c>
      <c r="I33" s="53">
        <v>110.07</v>
      </c>
      <c r="J33" s="53">
        <f t="shared" si="10"/>
        <v>0.19059018047562251</v>
      </c>
      <c r="K33" s="40">
        <f t="shared" si="11"/>
        <v>8.096348459824501</v>
      </c>
      <c r="L33" s="40">
        <f t="shared" si="12"/>
        <v>0.41608928171769027</v>
      </c>
      <c r="M33" s="42">
        <f t="shared" si="13"/>
        <v>0.58391071828230967</v>
      </c>
      <c r="N33" s="42">
        <v>7.3</v>
      </c>
      <c r="O33" s="50">
        <f t="shared" si="14"/>
        <v>0.7963484598245012</v>
      </c>
    </row>
    <row r="34" spans="1:15">
      <c r="A34" t="s">
        <v>193</v>
      </c>
      <c r="B34" s="42">
        <f>(1626493*60)/(4348.095*2000)</f>
        <v>11.222107612644159</v>
      </c>
      <c r="C34" s="40">
        <v>31.06</v>
      </c>
      <c r="D34" s="42">
        <f t="shared" si="8"/>
        <v>3.4855866244872753</v>
      </c>
      <c r="E34" s="49">
        <f>(3190355*60)/4348095</f>
        <v>44.024176104707927</v>
      </c>
      <c r="F34" s="40">
        <v>189.37</v>
      </c>
      <c r="G34" s="49">
        <f t="shared" si="9"/>
        <v>4.1684291144742698</v>
      </c>
      <c r="H34" s="53">
        <f>(252497*60)/4348095</f>
        <v>3.4842430995642921</v>
      </c>
      <c r="I34" s="53">
        <v>97.75</v>
      </c>
      <c r="J34" s="53">
        <f t="shared" si="10"/>
        <v>0.17029238149120476</v>
      </c>
      <c r="K34" s="40">
        <f t="shared" si="11"/>
        <v>7.8243081204527503</v>
      </c>
      <c r="L34" s="40">
        <f t="shared" si="12"/>
        <v>0.44548176922838045</v>
      </c>
      <c r="M34" s="42">
        <f t="shared" si="13"/>
        <v>0.55451823077161944</v>
      </c>
      <c r="N34" s="42">
        <v>7.18</v>
      </c>
      <c r="O34" s="50">
        <f t="shared" si="14"/>
        <v>0.64430812045275054</v>
      </c>
    </row>
    <row r="35" spans="1:15">
      <c r="A35" t="s">
        <v>196</v>
      </c>
      <c r="B35" s="42">
        <f>(1728925*60)/(4558.204*2000)</f>
        <v>11.378988303287874</v>
      </c>
      <c r="C35" s="40">
        <v>32.9</v>
      </c>
      <c r="D35" s="42">
        <f t="shared" si="8"/>
        <v>3.7436871517817103</v>
      </c>
      <c r="E35" s="49">
        <f>(3357286*60)/4558204</f>
        <v>44.192221322257623</v>
      </c>
      <c r="F35" s="40">
        <v>198.66</v>
      </c>
      <c r="G35" s="49">
        <f t="shared" si="9"/>
        <v>4.3896133439398497</v>
      </c>
      <c r="H35" s="53">
        <f>(265703*60)/4558204</f>
        <v>3.4974696174194926</v>
      </c>
      <c r="I35" s="53">
        <v>80.45</v>
      </c>
      <c r="J35" s="53">
        <f t="shared" si="10"/>
        <v>0.1406857153606991</v>
      </c>
      <c r="K35" s="40">
        <f t="shared" si="11"/>
        <v>8.27398621108226</v>
      </c>
      <c r="L35" s="40">
        <f t="shared" si="12"/>
        <v>0.45246475595612889</v>
      </c>
      <c r="M35" s="42">
        <f t="shared" si="13"/>
        <v>0.54753524404387099</v>
      </c>
      <c r="N35" s="42">
        <v>7.49</v>
      </c>
      <c r="O35" s="50">
        <f t="shared" si="14"/>
        <v>0.78398621108225974</v>
      </c>
    </row>
    <row r="36" spans="1:15">
      <c r="A36" t="s">
        <v>194</v>
      </c>
      <c r="B36" s="42">
        <f>(1692493*60)/(4460.636*2000)</f>
        <v>11.382858856898434</v>
      </c>
      <c r="C36" s="40">
        <v>34.01</v>
      </c>
      <c r="D36" s="42">
        <f t="shared" si="8"/>
        <v>3.8713102972311573</v>
      </c>
      <c r="E36" s="49">
        <f>(3266582*60)/4460636</f>
        <v>43.938783617403438</v>
      </c>
      <c r="F36" s="40">
        <v>229.7</v>
      </c>
      <c r="G36" s="49">
        <f t="shared" si="9"/>
        <v>5.0463692984587842</v>
      </c>
      <c r="H36" s="53">
        <f>(261641*60)/4460636</f>
        <v>3.519332220786453</v>
      </c>
      <c r="I36" s="53">
        <v>77.5</v>
      </c>
      <c r="J36" s="53">
        <f t="shared" si="10"/>
        <v>0.13637412355547504</v>
      </c>
      <c r="K36" s="40">
        <f t="shared" si="11"/>
        <v>9.0540537192454167</v>
      </c>
      <c r="L36" s="40">
        <f t="shared" si="12"/>
        <v>0.42757757102790861</v>
      </c>
      <c r="M36" s="42">
        <f t="shared" si="13"/>
        <v>0.57242242897209139</v>
      </c>
      <c r="N36" s="42">
        <v>7.92</v>
      </c>
      <c r="O36" s="50">
        <f t="shared" si="14"/>
        <v>1.1340537192454168</v>
      </c>
    </row>
    <row r="37" spans="1:15">
      <c r="A37" t="s">
        <v>195</v>
      </c>
      <c r="B37" s="42">
        <f>(1709725*60)/(4506.259*2000)</f>
        <v>11.382335103241957</v>
      </c>
      <c r="C37" s="40">
        <v>35.74</v>
      </c>
      <c r="D37" s="42">
        <f t="shared" si="8"/>
        <v>4.0680465658986753</v>
      </c>
      <c r="E37" s="49">
        <f>(3302134*60)/4506259</f>
        <v>43.96729970469962</v>
      </c>
      <c r="F37" s="40">
        <v>222.05</v>
      </c>
      <c r="G37" s="49">
        <f t="shared" si="9"/>
        <v>4.8814694497142757</v>
      </c>
      <c r="H37" s="53">
        <f>(265876*60)/4506259</f>
        <v>3.5400894622346386</v>
      </c>
      <c r="I37" s="53">
        <v>90.24</v>
      </c>
      <c r="J37" s="53">
        <f t="shared" si="10"/>
        <v>0.15972883653602687</v>
      </c>
      <c r="K37" s="40">
        <f t="shared" si="11"/>
        <v>9.1092448521489775</v>
      </c>
      <c r="L37" s="40">
        <f t="shared" si="12"/>
        <v>0.44658439112425169</v>
      </c>
      <c r="M37" s="42">
        <f t="shared" si="13"/>
        <v>0.55341560887574826</v>
      </c>
      <c r="N37" s="42">
        <v>8.01</v>
      </c>
      <c r="O37" s="50">
        <f t="shared" si="14"/>
        <v>1.0992448521489777</v>
      </c>
    </row>
    <row r="38" spans="1:15">
      <c r="A38" t="s">
        <v>205</v>
      </c>
      <c r="B38" s="42">
        <f>(1662936*60)/(4387.531*2000)</f>
        <v>11.370422226076579</v>
      </c>
      <c r="C38" s="40">
        <v>34.869999999999997</v>
      </c>
      <c r="D38" s="42">
        <f t="shared" si="8"/>
        <v>3.9648662302329027</v>
      </c>
      <c r="E38" s="49">
        <f>(3215612*60)/4387531</f>
        <v>43.973870498009013</v>
      </c>
      <c r="F38" s="40">
        <v>217.63</v>
      </c>
      <c r="G38" s="49">
        <f t="shared" si="9"/>
        <v>4.7850167182408505</v>
      </c>
      <c r="H38" s="53">
        <f>(258299*60)/4387531</f>
        <v>3.5322690597513726</v>
      </c>
      <c r="I38" s="53">
        <v>95.91</v>
      </c>
      <c r="J38" s="53">
        <f t="shared" si="10"/>
        <v>0.16938996276037707</v>
      </c>
      <c r="K38" s="40">
        <f t="shared" si="11"/>
        <v>8.9192729112341311</v>
      </c>
      <c r="L38" s="40">
        <f t="shared" si="12"/>
        <v>0.44452796429617231</v>
      </c>
      <c r="M38" s="42">
        <f t="shared" si="13"/>
        <v>0.55547203570382764</v>
      </c>
      <c r="N38" s="42">
        <v>8.0399999999999991</v>
      </c>
      <c r="O38" s="50">
        <f t="shared" si="14"/>
        <v>0.87927291123413198</v>
      </c>
    </row>
    <row r="39" spans="1:15">
      <c r="A39" s="38" t="s">
        <v>226</v>
      </c>
      <c r="B39" s="42">
        <f>(20487823*60)/(54184.483*2000)</f>
        <v>11.343370942563022</v>
      </c>
      <c r="C39" s="40">
        <f>AVERAGE(C27:C38)</f>
        <v>29.905833333333337</v>
      </c>
      <c r="D39" s="42">
        <f t="shared" si="8"/>
        <v>3.3923296084646601</v>
      </c>
      <c r="E39" s="49">
        <f>(39758166*60)/54184483</f>
        <v>44.025333968767406</v>
      </c>
      <c r="F39" s="40">
        <f>AVERAGE(F27:F38)</f>
        <v>198.31000000000003</v>
      </c>
      <c r="G39" s="49">
        <f t="shared" si="9"/>
        <v>4.3653319896731331</v>
      </c>
      <c r="H39" s="53">
        <f>(3118614*60)/54184483</f>
        <v>3.4533288801519064</v>
      </c>
      <c r="I39" s="53">
        <f>AVERAGE(I27:I38)</f>
        <v>96.722500000000011</v>
      </c>
      <c r="J39" s="90">
        <f t="shared" si="10"/>
        <v>0.16700730130524641</v>
      </c>
      <c r="K39" s="40">
        <f t="shared" si="11"/>
        <v>7.9246688994430396</v>
      </c>
      <c r="L39" s="40">
        <f t="shared" si="12"/>
        <v>0.42807209380105199</v>
      </c>
      <c r="M39" s="42">
        <f t="shared" si="13"/>
        <v>0.57192790619894807</v>
      </c>
      <c r="N39" s="42">
        <f>AVERAGE(N27:N38)</f>
        <v>7.0374999999999988</v>
      </c>
      <c r="O39" s="50">
        <f t="shared" si="14"/>
        <v>0.88716889944304089</v>
      </c>
    </row>
    <row r="40" spans="1:15">
      <c r="A40" t="s">
        <v>404</v>
      </c>
      <c r="B40" s="42"/>
      <c r="C40" s="40"/>
      <c r="D40" s="42"/>
      <c r="E40" s="128"/>
      <c r="F40" s="40"/>
      <c r="G40" s="49"/>
      <c r="H40" s="53"/>
      <c r="I40" s="53"/>
      <c r="J40" s="90"/>
      <c r="K40" s="42"/>
      <c r="L40" s="42"/>
      <c r="M40" s="42"/>
      <c r="N40" s="42"/>
      <c r="O40" s="50"/>
    </row>
    <row r="41" spans="1:15">
      <c r="A41" t="s">
        <v>186</v>
      </c>
      <c r="B41" s="42">
        <f>(1678000*60)/(4420.104*2000)</f>
        <v>11.388872298027376</v>
      </c>
      <c r="C41" s="40">
        <v>36.89</v>
      </c>
      <c r="D41" s="42">
        <f t="shared" ref="D41:D53" si="15">(B41*C41)/100</f>
        <v>4.2013549907422991</v>
      </c>
      <c r="E41" s="49">
        <f>(3228802*60)/4420104</f>
        <v>43.828860135417628</v>
      </c>
      <c r="F41" s="40">
        <v>254.41</v>
      </c>
      <c r="G41" s="49">
        <f t="shared" ref="G41:G53" si="16">E41*F41/2000</f>
        <v>5.5752501535257988</v>
      </c>
      <c r="H41" s="53">
        <f>(261418*60)/4420104</f>
        <v>3.5485771375515145</v>
      </c>
      <c r="I41" s="53">
        <v>108.16</v>
      </c>
      <c r="J41" s="53">
        <f t="shared" ref="J41:J67" si="17">H41*I41/2000</f>
        <v>0.1919070515987859</v>
      </c>
      <c r="K41" s="40">
        <f t="shared" ref="K41:K53" si="18">D41+G41+J41</f>
        <v>9.9685121958668841</v>
      </c>
      <c r="L41" s="40">
        <f t="shared" ref="L41:L53" si="19">D41/K41</f>
        <v>0.42146259222958599</v>
      </c>
      <c r="M41" s="42">
        <f t="shared" ref="M41:M53" si="20">(+G41+J41)/K41</f>
        <v>0.57853740777041407</v>
      </c>
      <c r="N41" s="42">
        <v>9.07</v>
      </c>
      <c r="O41" s="50">
        <f t="shared" ref="O41:O53" si="21">K41-N41</f>
        <v>0.8985121958668838</v>
      </c>
    </row>
    <row r="42" spans="1:15">
      <c r="A42" t="s">
        <v>187</v>
      </c>
      <c r="B42" s="42">
        <f>(1868608.08*60)/(4912.37913*2000)</f>
        <v>11.411627831746774</v>
      </c>
      <c r="C42" s="40">
        <v>38.1</v>
      </c>
      <c r="D42" s="42">
        <f t="shared" si="15"/>
        <v>4.347830203895521</v>
      </c>
      <c r="E42" s="49">
        <f>(3587555.09*60)/4912379.13</f>
        <v>43.818544884991397</v>
      </c>
      <c r="F42" s="40">
        <v>260.55</v>
      </c>
      <c r="G42" s="49">
        <f t="shared" si="16"/>
        <v>5.7084609348922539</v>
      </c>
      <c r="H42" s="53">
        <f>(281923.17*60)/4912379.13</f>
        <v>3.4434211514126352</v>
      </c>
      <c r="I42" s="53">
        <v>122.07</v>
      </c>
      <c r="J42" s="53">
        <f t="shared" si="17"/>
        <v>0.21016920997647018</v>
      </c>
      <c r="K42" s="40">
        <f t="shared" si="18"/>
        <v>10.266460348764245</v>
      </c>
      <c r="L42" s="40">
        <f t="shared" si="19"/>
        <v>0.42349846550752629</v>
      </c>
      <c r="M42" s="42">
        <f t="shared" si="20"/>
        <v>0.57650153449247377</v>
      </c>
      <c r="N42" s="42">
        <v>9.44</v>
      </c>
      <c r="O42" s="50">
        <f t="shared" si="21"/>
        <v>0.82646034876424501</v>
      </c>
    </row>
    <row r="43" spans="1:15">
      <c r="A43" t="s">
        <v>188</v>
      </c>
      <c r="B43" s="42">
        <f>(1805433.7*60)/(4688.4612*2000)</f>
        <v>11.552406789673336</v>
      </c>
      <c r="C43" s="40">
        <v>42.68</v>
      </c>
      <c r="D43" s="42">
        <f t="shared" si="15"/>
        <v>4.9305672178325795</v>
      </c>
      <c r="E43" s="49">
        <f>(3434182.7*60)/4688461.2</f>
        <v>43.948526650919071</v>
      </c>
      <c r="F43" s="40">
        <v>280.76</v>
      </c>
      <c r="G43" s="49">
        <f t="shared" si="16"/>
        <v>6.1694941712560194</v>
      </c>
      <c r="H43" s="53">
        <f>(275259.8*60)/4688461.2</f>
        <v>3.522603109096861</v>
      </c>
      <c r="I43" s="53">
        <v>126.25</v>
      </c>
      <c r="J43" s="53">
        <f t="shared" si="17"/>
        <v>0.22236432126173936</v>
      </c>
      <c r="K43" s="40">
        <f t="shared" si="18"/>
        <v>11.322425710350338</v>
      </c>
      <c r="L43" s="40">
        <f t="shared" si="19"/>
        <v>0.43546916040485267</v>
      </c>
      <c r="M43" s="42">
        <f t="shared" si="20"/>
        <v>0.56453083959514738</v>
      </c>
      <c r="N43" s="42">
        <v>10.32</v>
      </c>
      <c r="O43" s="50">
        <f t="shared" si="21"/>
        <v>1.0024257103503373</v>
      </c>
    </row>
    <row r="44" spans="1:15">
      <c r="A44" t="s">
        <v>189</v>
      </c>
      <c r="B44" s="42">
        <f>(1879439.8*60)/(4921.75985*2000)</f>
        <v>11.455901083836912</v>
      </c>
      <c r="C44" s="40">
        <v>45.16</v>
      </c>
      <c r="D44" s="42">
        <f t="shared" si="15"/>
        <v>5.1734849294607486</v>
      </c>
      <c r="E44" s="49">
        <f>(3604532.75*60)/4921759.85</f>
        <v>43.941998714138812</v>
      </c>
      <c r="F44" s="40">
        <v>314.77999999999997</v>
      </c>
      <c r="G44" s="49">
        <f t="shared" si="16"/>
        <v>6.916031177618307</v>
      </c>
      <c r="H44" s="53">
        <f>(283007.2*60)/4921759.85</f>
        <v>3.4500732497137179</v>
      </c>
      <c r="I44" s="53">
        <v>135.79</v>
      </c>
      <c r="J44" s="53">
        <f t="shared" si="17"/>
        <v>0.23424272328931287</v>
      </c>
      <c r="K44" s="40">
        <f t="shared" si="18"/>
        <v>12.323758830368369</v>
      </c>
      <c r="L44" s="40">
        <f t="shared" si="19"/>
        <v>0.41979764458812507</v>
      </c>
      <c r="M44" s="42">
        <f t="shared" si="20"/>
        <v>0.58020235541187481</v>
      </c>
      <c r="N44" s="42">
        <v>11.23</v>
      </c>
      <c r="O44" s="50">
        <f t="shared" si="21"/>
        <v>1.093758830368369</v>
      </c>
    </row>
    <row r="45" spans="1:15">
      <c r="A45" t="s">
        <v>190</v>
      </c>
      <c r="B45" s="42">
        <f>(1845226.93*60)/(4814.018*2000)</f>
        <v>11.499086189540629</v>
      </c>
      <c r="C45" s="40">
        <v>49.77</v>
      </c>
      <c r="D45" s="42">
        <f t="shared" si="15"/>
        <v>5.7230951965343717</v>
      </c>
      <c r="E45" s="49">
        <f>(3515103.39*60)/4814018</f>
        <v>43.810846448850008</v>
      </c>
      <c r="F45" s="40">
        <v>331.28</v>
      </c>
      <c r="G45" s="49">
        <f t="shared" si="16"/>
        <v>7.2568286057875149</v>
      </c>
      <c r="H45" s="53">
        <f>(276075.02*60)/4814018</f>
        <v>3.4408889206479913</v>
      </c>
      <c r="I45" s="53">
        <v>136.6</v>
      </c>
      <c r="J45" s="53">
        <f t="shared" si="17"/>
        <v>0.2350127132802578</v>
      </c>
      <c r="K45" s="40">
        <f t="shared" si="18"/>
        <v>13.214936515602144</v>
      </c>
      <c r="L45" s="40">
        <f t="shared" si="19"/>
        <v>0.4330777669478344</v>
      </c>
      <c r="M45" s="42">
        <f t="shared" si="20"/>
        <v>0.56692223305216571</v>
      </c>
      <c r="N45" s="42">
        <v>12.16</v>
      </c>
      <c r="O45" s="50">
        <f t="shared" si="21"/>
        <v>1.0549365156021437</v>
      </c>
    </row>
    <row r="46" spans="1:15">
      <c r="A46" t="s">
        <v>191</v>
      </c>
      <c r="B46" s="42">
        <f>(1687694.5*60)/(4395.339*2000)</f>
        <v>11.519210463629769</v>
      </c>
      <c r="C46" s="40">
        <v>56.68</v>
      </c>
      <c r="D46" s="42">
        <f t="shared" si="15"/>
        <v>6.5290884907853526</v>
      </c>
      <c r="E46" s="49">
        <f>(3223901.3*60)/4395339</f>
        <v>44.008909892957064</v>
      </c>
      <c r="F46" s="40">
        <v>345.87</v>
      </c>
      <c r="G46" s="49">
        <f t="shared" si="16"/>
        <v>7.61068083233853</v>
      </c>
      <c r="H46" s="53">
        <f>(249761.85*60)/4395339</f>
        <v>3.4094551068757153</v>
      </c>
      <c r="I46" s="53">
        <v>139.94999999999999</v>
      </c>
      <c r="J46" s="53">
        <f t="shared" si="17"/>
        <v>0.23857662110362815</v>
      </c>
      <c r="K46" s="40">
        <f t="shared" si="18"/>
        <v>14.37834594422751</v>
      </c>
      <c r="L46" s="40">
        <f t="shared" si="19"/>
        <v>0.45409176522189554</v>
      </c>
      <c r="M46" s="42">
        <f t="shared" si="20"/>
        <v>0.54590823477810446</v>
      </c>
      <c r="N46" s="42">
        <v>13.35</v>
      </c>
      <c r="O46" s="50">
        <f t="shared" si="21"/>
        <v>1.0283459442275102</v>
      </c>
    </row>
    <row r="47" spans="1:15">
      <c r="A47" t="s">
        <v>192</v>
      </c>
      <c r="B47" s="42">
        <f>(1827761.46*60)/(4678.746*2000)</f>
        <v>11.719559856423066</v>
      </c>
      <c r="C47" s="40">
        <v>57.27</v>
      </c>
      <c r="D47" s="42">
        <f t="shared" si="15"/>
        <v>6.71179192977349</v>
      </c>
      <c r="E47" s="49">
        <f>(3428232.47*60)/4678746</f>
        <v>43.963478290977974</v>
      </c>
      <c r="F47" s="40">
        <v>331.57</v>
      </c>
      <c r="G47" s="49">
        <f t="shared" si="16"/>
        <v>7.2884852484697831</v>
      </c>
      <c r="H47" s="53">
        <f>(272873.47*60)/4678746</f>
        <v>3.4993154576033834</v>
      </c>
      <c r="I47" s="53">
        <v>149.93</v>
      </c>
      <c r="J47" s="53">
        <f t="shared" si="17"/>
        <v>0.26232618327923762</v>
      </c>
      <c r="K47" s="40">
        <f t="shared" si="18"/>
        <v>14.26260336152251</v>
      </c>
      <c r="L47" s="40">
        <f t="shared" si="19"/>
        <v>0.47058673368709714</v>
      </c>
      <c r="M47" s="42">
        <f t="shared" si="20"/>
        <v>0.52941326631290286</v>
      </c>
      <c r="N47" s="42">
        <v>13.12</v>
      </c>
      <c r="O47" s="50">
        <f t="shared" si="21"/>
        <v>1.1426033615225109</v>
      </c>
    </row>
    <row r="48" spans="1:15">
      <c r="A48" t="s">
        <v>193</v>
      </c>
      <c r="B48" s="42">
        <f>(1707011.36*60)/(4423.512*2000)</f>
        <v>11.576851334414828</v>
      </c>
      <c r="C48" s="40">
        <v>56.58</v>
      </c>
      <c r="D48" s="42">
        <f t="shared" si="15"/>
        <v>6.5501824850119093</v>
      </c>
      <c r="E48" s="49">
        <f>(3245843.7*60)/4423512</f>
        <v>44.026244757559155</v>
      </c>
      <c r="F48" s="40">
        <v>329.94</v>
      </c>
      <c r="G48" s="49">
        <f t="shared" si="16"/>
        <v>7.2630095976545332</v>
      </c>
      <c r="H48" s="53">
        <f>(254800.26*60)/4423512</f>
        <v>3.4560809601059073</v>
      </c>
      <c r="I48" s="53">
        <v>141.11000000000001</v>
      </c>
      <c r="J48" s="53">
        <f t="shared" si="17"/>
        <v>0.24384379214027233</v>
      </c>
      <c r="K48" s="40">
        <f t="shared" si="18"/>
        <v>14.057035874806715</v>
      </c>
      <c r="L48" s="40">
        <f t="shared" si="19"/>
        <v>0.46597181250360681</v>
      </c>
      <c r="M48" s="42">
        <f t="shared" si="20"/>
        <v>0.53402818749639314</v>
      </c>
      <c r="N48" s="42">
        <v>12.92</v>
      </c>
      <c r="O48" s="50">
        <f t="shared" si="21"/>
        <v>1.1370358748067151</v>
      </c>
    </row>
    <row r="49" spans="1:15">
      <c r="A49" t="s">
        <v>196</v>
      </c>
      <c r="B49" s="42">
        <f>(1756417.8*60)/(4578.147*2000)</f>
        <v>11.509576691180952</v>
      </c>
      <c r="C49" s="40">
        <v>58.27</v>
      </c>
      <c r="D49" s="42">
        <f t="shared" si="15"/>
        <v>6.7066303379511405</v>
      </c>
      <c r="E49" s="49">
        <f>(3366876.6*60)/4578147</f>
        <v>44.125406196000263</v>
      </c>
      <c r="F49" s="40">
        <v>325.48</v>
      </c>
      <c r="G49" s="49">
        <f t="shared" si="16"/>
        <v>7.1809686043370826</v>
      </c>
      <c r="H49" s="53">
        <f>(266890.9*60)/4578147</f>
        <v>3.4978024952016615</v>
      </c>
      <c r="I49" s="53">
        <v>111.43</v>
      </c>
      <c r="J49" s="53">
        <f t="shared" si="17"/>
        <v>0.19488006602016059</v>
      </c>
      <c r="K49" s="40">
        <f t="shared" si="18"/>
        <v>14.082479008308384</v>
      </c>
      <c r="L49" s="40">
        <f t="shared" si="19"/>
        <v>0.47623932789066192</v>
      </c>
      <c r="M49" s="42">
        <f t="shared" si="20"/>
        <v>0.52376067210933797</v>
      </c>
      <c r="N49" s="42">
        <v>13.24</v>
      </c>
      <c r="O49" s="50">
        <f t="shared" si="21"/>
        <v>0.84247900830838418</v>
      </c>
    </row>
    <row r="50" spans="1:15">
      <c r="A50" t="s">
        <v>194</v>
      </c>
      <c r="B50" s="42">
        <f>(1632790.52*60)/(4231.453*2000)</f>
        <v>11.576098233869075</v>
      </c>
      <c r="C50" s="40">
        <v>62.43</v>
      </c>
      <c r="D50" s="42">
        <f t="shared" si="15"/>
        <v>7.2269581274044636</v>
      </c>
      <c r="E50" s="49">
        <f>(3098019.28*60)/4231453</f>
        <v>43.92844651707108</v>
      </c>
      <c r="F50" s="40">
        <v>390.72</v>
      </c>
      <c r="G50" s="49">
        <f t="shared" si="16"/>
        <v>8.5818613115750075</v>
      </c>
      <c r="H50" s="53">
        <f>(254251.66*60)/4231453</f>
        <v>3.6051681538232847</v>
      </c>
      <c r="I50" s="53">
        <v>125.48</v>
      </c>
      <c r="J50" s="53">
        <f t="shared" si="17"/>
        <v>0.22618824997087289</v>
      </c>
      <c r="K50" s="40">
        <f t="shared" si="18"/>
        <v>16.035007688950344</v>
      </c>
      <c r="L50" s="40">
        <f t="shared" si="19"/>
        <v>0.45069876283155946</v>
      </c>
      <c r="M50" s="42">
        <f t="shared" si="20"/>
        <v>0.54930123716844048</v>
      </c>
      <c r="N50" s="42">
        <v>14.99</v>
      </c>
      <c r="O50" s="50">
        <f t="shared" si="21"/>
        <v>1.0450076889503439</v>
      </c>
    </row>
    <row r="51" spans="1:15">
      <c r="A51" t="s">
        <v>195</v>
      </c>
      <c r="B51" s="42">
        <f>(1616379.28*60)/(4179.457*2000)</f>
        <v>11.602315420400304</v>
      </c>
      <c r="C51" s="40">
        <v>60.54</v>
      </c>
      <c r="D51" s="42">
        <f t="shared" si="15"/>
        <v>7.0240417555103445</v>
      </c>
      <c r="E51" s="49">
        <f>(3072369.6*60)/4179457</f>
        <v>44.106728697053228</v>
      </c>
      <c r="F51" s="40">
        <v>412.25</v>
      </c>
      <c r="G51" s="49">
        <f t="shared" si="16"/>
        <v>9.0914994526800967</v>
      </c>
      <c r="H51" s="53">
        <f>(243909.6*60)/4179457</f>
        <v>3.5015496032140061</v>
      </c>
      <c r="I51" s="53">
        <v>152.02000000000001</v>
      </c>
      <c r="J51" s="53">
        <f t="shared" si="17"/>
        <v>0.26615278534029663</v>
      </c>
      <c r="K51" s="40">
        <f t="shared" si="18"/>
        <v>16.381693993530739</v>
      </c>
      <c r="L51" s="40">
        <f t="shared" si="19"/>
        <v>0.42877383488448717</v>
      </c>
      <c r="M51" s="42">
        <f t="shared" si="20"/>
        <v>0.57122616511551272</v>
      </c>
      <c r="N51" s="42">
        <v>15.16</v>
      </c>
      <c r="O51" s="50">
        <f t="shared" si="21"/>
        <v>1.2216939935307387</v>
      </c>
    </row>
    <row r="52" spans="1:15">
      <c r="A52" t="s">
        <v>205</v>
      </c>
      <c r="B52" s="42">
        <f>(1507544.65*60)/(3858.844*2000)</f>
        <v>11.720178245091017</v>
      </c>
      <c r="C52" s="40">
        <v>50.78</v>
      </c>
      <c r="D52" s="42">
        <f t="shared" si="15"/>
        <v>5.9515065128572182</v>
      </c>
      <c r="E52" s="49">
        <f>(2821738*60)/3858844</f>
        <v>43.874352008010689</v>
      </c>
      <c r="F52" s="40">
        <v>355.35</v>
      </c>
      <c r="G52" s="49">
        <f t="shared" si="16"/>
        <v>7.7953754930232995</v>
      </c>
      <c r="H52" s="53">
        <f>(230645.05*60)/3858844</f>
        <v>3.5862302285347631</v>
      </c>
      <c r="I52" s="53">
        <v>152.62</v>
      </c>
      <c r="J52" s="53">
        <f t="shared" si="17"/>
        <v>0.27366522873948773</v>
      </c>
      <c r="K52" s="40">
        <f t="shared" si="18"/>
        <v>14.020547234620006</v>
      </c>
      <c r="L52" s="40">
        <f t="shared" si="19"/>
        <v>0.42448460914289843</v>
      </c>
      <c r="M52" s="42">
        <f t="shared" si="20"/>
        <v>0.57551539085710157</v>
      </c>
      <c r="N52" s="42">
        <v>12.88</v>
      </c>
      <c r="O52" s="50">
        <f t="shared" si="21"/>
        <v>1.140547234620005</v>
      </c>
    </row>
    <row r="53" spans="1:15">
      <c r="A53" s="38" t="s">
        <v>226</v>
      </c>
      <c r="B53" s="42">
        <f>(20812308.08*60)/(54102.22018*2000)</f>
        <v>11.540547510299973</v>
      </c>
      <c r="C53" s="40">
        <f>AVERAGE(C41:C52)</f>
        <v>51.262499999999996</v>
      </c>
      <c r="D53" s="42">
        <f t="shared" si="15"/>
        <v>5.9159731674675236</v>
      </c>
      <c r="E53" s="49">
        <f>(39627156.88*60)/54102220.18</f>
        <v>43.946984151288859</v>
      </c>
      <c r="F53" s="40">
        <f>AVERAGE(F41:F52)</f>
        <v>327.74666666666673</v>
      </c>
      <c r="G53" s="49">
        <f t="shared" si="16"/>
        <v>7.2017387828188779</v>
      </c>
      <c r="H53" s="53">
        <f>(3150815.98*60)/54102220.18</f>
        <v>3.4942920673315707</v>
      </c>
      <c r="I53" s="53">
        <f>AVERAGE(I41:I52)</f>
        <v>133.45083333333335</v>
      </c>
      <c r="J53" s="90">
        <f t="shared" si="17"/>
        <v>0.23315809414772712</v>
      </c>
      <c r="K53" s="40">
        <f t="shared" si="18"/>
        <v>13.35087004443413</v>
      </c>
      <c r="L53" s="40">
        <f t="shared" si="19"/>
        <v>0.4431151788443814</v>
      </c>
      <c r="M53" s="42">
        <f t="shared" si="20"/>
        <v>0.55688482115561855</v>
      </c>
      <c r="N53" s="42">
        <f>AVERAGE(N41:N52)</f>
        <v>12.323333333333332</v>
      </c>
      <c r="O53" s="50">
        <f t="shared" si="21"/>
        <v>1.0275367111007974</v>
      </c>
    </row>
    <row r="54" spans="1:15">
      <c r="A54" t="s">
        <v>411</v>
      </c>
      <c r="B54" s="42"/>
      <c r="C54" s="40"/>
      <c r="D54" s="42"/>
      <c r="E54" s="128"/>
      <c r="F54" s="40"/>
      <c r="G54" s="49"/>
      <c r="H54" s="90"/>
      <c r="I54" s="90"/>
      <c r="J54" s="90"/>
      <c r="K54" s="42"/>
      <c r="L54" s="42"/>
      <c r="M54" s="42"/>
      <c r="N54" s="42"/>
      <c r="O54" s="50"/>
    </row>
    <row r="55" spans="1:15">
      <c r="A55" t="s">
        <v>186</v>
      </c>
      <c r="B55" s="42">
        <f>(1445522.7*60)/(3770.688*2000)</f>
        <v>11.500734348744844</v>
      </c>
      <c r="C55" s="40">
        <v>46.09</v>
      </c>
      <c r="D55" s="42">
        <f t="shared" ref="D55:D67" si="22">(B55*C55)/100</f>
        <v>5.3006884613364988</v>
      </c>
      <c r="E55" s="49">
        <f>(2772830.3*60)/3770688</f>
        <v>44.121873249656296</v>
      </c>
      <c r="F55" s="40">
        <v>352.7</v>
      </c>
      <c r="G55" s="49">
        <f>E55*F55/2000</f>
        <v>7.7808923475768879</v>
      </c>
      <c r="H55" s="53">
        <f>(223493.3*60)/3770688</f>
        <v>3.5562735500789247</v>
      </c>
      <c r="I55" s="53">
        <v>152.62</v>
      </c>
      <c r="J55" s="53">
        <f t="shared" si="17"/>
        <v>0.27137923460652275</v>
      </c>
      <c r="K55" s="40">
        <f t="shared" ref="K55:K67" si="23">D55+G55+J55</f>
        <v>13.352960043519909</v>
      </c>
      <c r="L55" s="40">
        <f t="shared" ref="L55:L67" si="24">D55/K55</f>
        <v>0.3969672974427032</v>
      </c>
      <c r="M55" s="42">
        <f t="shared" ref="M55:M67" si="25">(+G55+J55)/K55</f>
        <v>0.6030327025572968</v>
      </c>
      <c r="N55" s="42">
        <v>11.4</v>
      </c>
      <c r="O55" s="50">
        <f t="shared" ref="O55:O67" si="26">K55-N55</f>
        <v>1.9529600435199086</v>
      </c>
    </row>
    <row r="56" spans="1:15">
      <c r="A56" t="s">
        <v>187</v>
      </c>
      <c r="B56" s="42">
        <f>(1715917.39*60)/(4501.479*2000)</f>
        <v>11.435690736311331</v>
      </c>
      <c r="C56" s="40">
        <v>35.5</v>
      </c>
      <c r="D56" s="42">
        <f t="shared" si="22"/>
        <v>4.0596702113905225</v>
      </c>
      <c r="E56" s="49">
        <f>(3267431.29*60)/4501479</f>
        <v>43.551436627828323</v>
      </c>
      <c r="F56" s="40">
        <v>260.66000000000003</v>
      </c>
      <c r="G56" s="49">
        <f t="shared" ref="G56:G67" si="27">E56*F56/2000</f>
        <v>5.6760587357048662</v>
      </c>
      <c r="H56" s="53">
        <f>(252014.93*60)/4501479</f>
        <v>3.3590950440955072</v>
      </c>
      <c r="I56" s="53">
        <v>145.22</v>
      </c>
      <c r="J56" s="53">
        <f t="shared" si="17"/>
        <v>0.2439038911517748</v>
      </c>
      <c r="K56" s="40">
        <f t="shared" si="23"/>
        <v>9.9796328382471629</v>
      </c>
      <c r="L56" s="40">
        <f t="shared" si="24"/>
        <v>0.40679554821212932</v>
      </c>
      <c r="M56" s="42">
        <f t="shared" si="25"/>
        <v>0.59320445178787073</v>
      </c>
      <c r="N56" s="42">
        <v>9.0299999999999994</v>
      </c>
      <c r="O56" s="50">
        <f t="shared" si="26"/>
        <v>0.94963283824716349</v>
      </c>
    </row>
    <row r="57" spans="1:15">
      <c r="A57" t="s">
        <v>188</v>
      </c>
      <c r="B57" s="42">
        <f>(1622851*60)/(4340.495*2000)</f>
        <v>11.216584744366713</v>
      </c>
      <c r="C57" s="40">
        <v>31.55</v>
      </c>
      <c r="D57" s="42">
        <f t="shared" si="22"/>
        <v>3.5388324868476979</v>
      </c>
      <c r="E57" s="49">
        <f>(3158033*60)/4340495</f>
        <v>43.654463373417087</v>
      </c>
      <c r="F57" s="40">
        <v>267.37</v>
      </c>
      <c r="G57" s="49">
        <f t="shared" si="27"/>
        <v>5.8359469360752634</v>
      </c>
      <c r="H57" s="53">
        <f>(255442*60)/4340495</f>
        <v>3.531053485835141</v>
      </c>
      <c r="I57" s="53">
        <v>131.11000000000001</v>
      </c>
      <c r="J57" s="53">
        <f t="shared" si="17"/>
        <v>0.23147821126392271</v>
      </c>
      <c r="K57" s="40">
        <f t="shared" si="23"/>
        <v>9.6062576341868837</v>
      </c>
      <c r="L57" s="40">
        <f t="shared" si="24"/>
        <v>0.36838825499054401</v>
      </c>
      <c r="M57" s="42">
        <f t="shared" si="25"/>
        <v>0.63161174500945605</v>
      </c>
      <c r="N57" s="42">
        <v>8.93</v>
      </c>
      <c r="O57" s="50">
        <f t="shared" si="26"/>
        <v>0.676257634186884</v>
      </c>
    </row>
    <row r="58" spans="1:15">
      <c r="A58" t="s">
        <v>189</v>
      </c>
      <c r="B58" s="42">
        <f>(1596985.45*60)/(4240.383*2000)</f>
        <v>11.29840476673923</v>
      </c>
      <c r="C58" s="40">
        <v>29.3</v>
      </c>
      <c r="D58" s="42">
        <f t="shared" si="22"/>
        <v>3.3104325966545947</v>
      </c>
      <c r="E58" s="49">
        <f>(3101798.75*60)/4240383</f>
        <v>43.889413998688326</v>
      </c>
      <c r="F58" s="40">
        <v>268.24</v>
      </c>
      <c r="G58" s="49">
        <f t="shared" si="27"/>
        <v>5.8864482055040792</v>
      </c>
      <c r="H58" s="53">
        <f>(244153.55*60)/4240383</f>
        <v>3.4546910031475933</v>
      </c>
      <c r="I58" s="53">
        <v>119.88</v>
      </c>
      <c r="J58" s="53">
        <f t="shared" si="17"/>
        <v>0.20707417872866674</v>
      </c>
      <c r="K58" s="40">
        <f t="shared" si="23"/>
        <v>9.4039549808873399</v>
      </c>
      <c r="L58" s="40">
        <f t="shared" si="24"/>
        <v>0.35202556832553322</v>
      </c>
      <c r="M58" s="42">
        <f t="shared" si="25"/>
        <v>0.64797443167446689</v>
      </c>
      <c r="N58" s="42">
        <v>8.68</v>
      </c>
      <c r="O58" s="50">
        <f t="shared" si="26"/>
        <v>0.72395498088734023</v>
      </c>
    </row>
    <row r="59" spans="1:15">
      <c r="A59" t="s">
        <v>190</v>
      </c>
      <c r="B59" s="42">
        <f>(1615580*60)/(4357.003*2000)</f>
        <v>11.124022636661026</v>
      </c>
      <c r="C59" s="40">
        <v>32.159999999999997</v>
      </c>
      <c r="D59" s="42">
        <f t="shared" si="22"/>
        <v>3.5774856799501857</v>
      </c>
      <c r="E59" s="49">
        <f>(3185208*60)/4357003</f>
        <v>43.863288595394586</v>
      </c>
      <c r="F59" s="40">
        <v>306.85000000000002</v>
      </c>
      <c r="G59" s="49">
        <f t="shared" si="27"/>
        <v>6.7297250527484147</v>
      </c>
      <c r="H59" s="53">
        <f>(254614*60)/4357003</f>
        <v>3.506272545600726</v>
      </c>
      <c r="I59" s="53">
        <v>111.38</v>
      </c>
      <c r="J59" s="53">
        <f t="shared" si="17"/>
        <v>0.19526431806450442</v>
      </c>
      <c r="K59" s="40">
        <f t="shared" si="23"/>
        <v>10.502475050763104</v>
      </c>
      <c r="L59" s="40">
        <f t="shared" si="24"/>
        <v>0.34063262827653634</v>
      </c>
      <c r="M59" s="42">
        <f t="shared" si="25"/>
        <v>0.65936737172346371</v>
      </c>
      <c r="N59" s="42">
        <v>9.91</v>
      </c>
      <c r="O59" s="50">
        <f t="shared" si="26"/>
        <v>0.59247505076310425</v>
      </c>
    </row>
    <row r="60" spans="1:15">
      <c r="A60" t="s">
        <v>191</v>
      </c>
      <c r="B60" s="42">
        <f>(1536526*60)/(4062.132*2000)</f>
        <v>11.347681463822447</v>
      </c>
      <c r="C60" s="40">
        <v>28.93</v>
      </c>
      <c r="D60" s="42">
        <f t="shared" si="22"/>
        <v>3.2828842474838336</v>
      </c>
      <c r="E60" s="49">
        <f>(2972827*60)/4062132</f>
        <v>43.910345601767744</v>
      </c>
      <c r="F60" s="40">
        <v>297.42</v>
      </c>
      <c r="G60" s="49">
        <f t="shared" si="27"/>
        <v>6.5299074944388815</v>
      </c>
      <c r="H60" s="53">
        <f>(230916*60)/4062132</f>
        <v>3.410760654749772</v>
      </c>
      <c r="I60" s="53">
        <v>101.05</v>
      </c>
      <c r="J60" s="53">
        <f t="shared" si="17"/>
        <v>0.17232868208123223</v>
      </c>
      <c r="K60" s="40">
        <f t="shared" si="23"/>
        <v>9.9851204240039486</v>
      </c>
      <c r="L60" s="40">
        <f t="shared" si="24"/>
        <v>0.32877763192438542</v>
      </c>
      <c r="M60" s="42">
        <f t="shared" si="25"/>
        <v>0.67122236807561453</v>
      </c>
      <c r="N60" s="42">
        <v>9.3800000000000008</v>
      </c>
      <c r="O60" s="50">
        <f t="shared" si="26"/>
        <v>0.60512042400394783</v>
      </c>
    </row>
    <row r="61" spans="1:15">
      <c r="A61" t="s">
        <v>192</v>
      </c>
      <c r="B61" s="42">
        <f>(1636431*60)/(4332.515*2000)</f>
        <v>11.331277560493154</v>
      </c>
      <c r="C61" s="40">
        <v>28.23</v>
      </c>
      <c r="D61" s="42">
        <f t="shared" si="22"/>
        <v>3.1988196553272172</v>
      </c>
      <c r="E61" s="49">
        <f>(3171612*60)/4332515</f>
        <v>43.92292236726243</v>
      </c>
      <c r="F61" s="40">
        <v>292.22000000000003</v>
      </c>
      <c r="G61" s="49">
        <f t="shared" si="27"/>
        <v>6.4175781870807143</v>
      </c>
      <c r="H61" s="53">
        <f>(253799*60)/4332515</f>
        <v>3.514803757171066</v>
      </c>
      <c r="I61" s="53">
        <v>90.8</v>
      </c>
      <c r="J61" s="53">
        <f t="shared" si="17"/>
        <v>0.1595720905755664</v>
      </c>
      <c r="K61" s="40">
        <f t="shared" si="23"/>
        <v>9.7759699329834966</v>
      </c>
      <c r="L61" s="40">
        <f t="shared" si="24"/>
        <v>0.32721250957765374</v>
      </c>
      <c r="M61" s="42">
        <f t="shared" si="25"/>
        <v>0.67278749042234642</v>
      </c>
      <c r="N61" s="42">
        <v>9.17</v>
      </c>
      <c r="O61" s="50">
        <f t="shared" si="26"/>
        <v>0.60596993298349666</v>
      </c>
    </row>
    <row r="62" spans="1:15">
      <c r="A62" t="s">
        <v>193</v>
      </c>
      <c r="B62" s="42">
        <f>(1595908*60)/(4208.212*2000)</f>
        <v>11.377097921872757</v>
      </c>
      <c r="C62" s="40">
        <v>32.76</v>
      </c>
      <c r="D62" s="42">
        <f t="shared" si="22"/>
        <v>3.7271372792055151</v>
      </c>
      <c r="E62" s="49">
        <f>(3091967*60)/4208212</f>
        <v>44.084760938850039</v>
      </c>
      <c r="F62" s="40">
        <v>324.27</v>
      </c>
      <c r="G62" s="49">
        <f t="shared" si="27"/>
        <v>7.1476827148204505</v>
      </c>
      <c r="H62" s="53">
        <f>(243220*60)/4208212</f>
        <v>3.4677910713623743</v>
      </c>
      <c r="I62" s="53">
        <v>81.67</v>
      </c>
      <c r="J62" s="53">
        <f t="shared" si="17"/>
        <v>0.14160724839908256</v>
      </c>
      <c r="K62" s="40">
        <f t="shared" si="23"/>
        <v>11.016427242425049</v>
      </c>
      <c r="L62" s="40">
        <f t="shared" si="24"/>
        <v>0.33832541142304673</v>
      </c>
      <c r="M62" s="42">
        <f t="shared" si="25"/>
        <v>0.66167458857695316</v>
      </c>
      <c r="N62" s="42">
        <v>10.25</v>
      </c>
      <c r="O62" s="50">
        <f t="shared" si="26"/>
        <v>0.76642724242504912</v>
      </c>
    </row>
    <row r="63" spans="1:15">
      <c r="A63" t="s">
        <v>196</v>
      </c>
      <c r="B63" s="42">
        <f>(1684227*60)/(4387.378*2000)</f>
        <v>11.516402279447998</v>
      </c>
      <c r="C63" s="40">
        <v>36.06</v>
      </c>
      <c r="D63" s="42">
        <f t="shared" si="22"/>
        <v>4.1528146619689483</v>
      </c>
      <c r="E63" s="49">
        <f>(3246859*60)/4387378</f>
        <v>44.402725272360847</v>
      </c>
      <c r="F63" s="40">
        <v>380.37</v>
      </c>
      <c r="G63" s="49">
        <f t="shared" si="27"/>
        <v>8.4447323059239476</v>
      </c>
      <c r="H63" s="53">
        <f>(255913*60)/4387378</f>
        <v>3.4997622725919673</v>
      </c>
      <c r="I63" s="53">
        <v>87.63</v>
      </c>
      <c r="J63" s="53">
        <f t="shared" si="17"/>
        <v>0.15334208397361704</v>
      </c>
      <c r="K63" s="40">
        <f t="shared" si="23"/>
        <v>12.750889051866514</v>
      </c>
      <c r="L63" s="40">
        <f t="shared" si="24"/>
        <v>0.32568824378258132</v>
      </c>
      <c r="M63" s="42">
        <f t="shared" si="25"/>
        <v>0.67431175621741868</v>
      </c>
      <c r="N63" s="42">
        <v>11.66</v>
      </c>
      <c r="O63" s="50">
        <f t="shared" si="26"/>
        <v>1.0908890518665135</v>
      </c>
    </row>
    <row r="64" spans="1:15">
      <c r="A64" t="s">
        <v>194</v>
      </c>
      <c r="B64" s="42">
        <f>(1604322*60)/(4202.869*2000)</f>
        <v>11.451620309840731</v>
      </c>
      <c r="C64" s="40">
        <v>35.659999999999997</v>
      </c>
      <c r="D64" s="42">
        <f t="shared" si="22"/>
        <v>4.0836478024892049</v>
      </c>
      <c r="E64" s="49">
        <f>(3082209*60)/4202869</f>
        <v>44.001499927787421</v>
      </c>
      <c r="F64" s="40">
        <v>418.47</v>
      </c>
      <c r="G64" s="49">
        <f t="shared" si="27"/>
        <v>9.2066538373906024</v>
      </c>
      <c r="H64" s="53">
        <f>(241001*60)/4202869</f>
        <v>3.4405212249061297</v>
      </c>
      <c r="I64" s="53">
        <v>82.61</v>
      </c>
      <c r="J64" s="53">
        <f t="shared" si="17"/>
        <v>0.14211072919474768</v>
      </c>
      <c r="K64" s="40">
        <f t="shared" si="23"/>
        <v>13.432412369074555</v>
      </c>
      <c r="L64" s="40">
        <f t="shared" si="24"/>
        <v>0.30401447560461947</v>
      </c>
      <c r="M64" s="42">
        <f t="shared" si="25"/>
        <v>0.69598552439538053</v>
      </c>
      <c r="N64" s="42">
        <v>12.37</v>
      </c>
      <c r="O64" s="50">
        <f t="shared" si="26"/>
        <v>1.0624123690745559</v>
      </c>
    </row>
    <row r="65" spans="1:15">
      <c r="A65" t="s">
        <v>195</v>
      </c>
      <c r="B65" s="42">
        <f>(1469173*60)/(3863.629*2000)</f>
        <v>11.407717977062497</v>
      </c>
      <c r="C65" s="40">
        <v>31.08</v>
      </c>
      <c r="D65" s="42">
        <f t="shared" si="22"/>
        <v>3.5455187472710237</v>
      </c>
      <c r="E65" s="49">
        <f>(2836244*60)/3881091</f>
        <v>43.847114123322541</v>
      </c>
      <c r="F65" s="40">
        <v>373.18</v>
      </c>
      <c r="G65" s="49">
        <f t="shared" si="27"/>
        <v>8.1814330242707527</v>
      </c>
      <c r="H65" s="53">
        <f>(230471*60)/3881091</f>
        <v>3.5629826767782564</v>
      </c>
      <c r="I65" s="53">
        <v>84.66</v>
      </c>
      <c r="J65" s="53">
        <f t="shared" si="17"/>
        <v>0.15082105670802357</v>
      </c>
      <c r="K65" s="40">
        <f t="shared" si="23"/>
        <v>11.8777728282498</v>
      </c>
      <c r="L65" s="40">
        <f t="shared" si="24"/>
        <v>0.29850029955434493</v>
      </c>
      <c r="M65" s="42">
        <f t="shared" si="25"/>
        <v>0.70149970044565513</v>
      </c>
      <c r="N65" s="42">
        <v>10.96</v>
      </c>
      <c r="O65" s="50">
        <f t="shared" si="26"/>
        <v>0.91777282824979878</v>
      </c>
    </row>
    <row r="66" spans="1:15">
      <c r="A66" t="s">
        <v>205</v>
      </c>
      <c r="B66" s="42">
        <f>(1368606*60)/(3592.845*2000)</f>
        <v>11.427762678323168</v>
      </c>
      <c r="C66" s="40">
        <v>33.69</v>
      </c>
      <c r="D66" s="42">
        <f>(B66*C66)/100</f>
        <v>3.8500132463270749</v>
      </c>
      <c r="E66" s="49">
        <f>(2629112*60)/3592845</f>
        <v>43.905796103088221</v>
      </c>
      <c r="F66" s="40">
        <v>405.27</v>
      </c>
      <c r="G66" s="49">
        <f>E66*F66/2000</f>
        <v>8.8968509933492808</v>
      </c>
      <c r="H66" s="53">
        <f>(215817*60)/3592845</f>
        <v>3.6041131749351836</v>
      </c>
      <c r="I66" s="53">
        <v>97.33</v>
      </c>
      <c r="J66" s="53">
        <f t="shared" si="17"/>
        <v>0.17539416765822072</v>
      </c>
      <c r="K66" s="40">
        <f t="shared" si="23"/>
        <v>12.922258407334576</v>
      </c>
      <c r="L66" s="40">
        <f t="shared" si="24"/>
        <v>0.29793656224532983</v>
      </c>
      <c r="M66" s="42">
        <f t="shared" si="25"/>
        <v>0.70206343775467017</v>
      </c>
      <c r="N66" s="42">
        <v>11.36</v>
      </c>
      <c r="O66" s="50">
        <f t="shared" si="26"/>
        <v>1.5622584073345767</v>
      </c>
    </row>
    <row r="67" spans="1:15">
      <c r="A67" s="38" t="s">
        <v>226</v>
      </c>
      <c r="B67" s="42">
        <f>(18892049.54*60)/(49877.09*2000)</f>
        <v>11.363162650427279</v>
      </c>
      <c r="C67" s="40">
        <f>AVERAGE(C55:C66)</f>
        <v>33.417499999999997</v>
      </c>
      <c r="D67" s="42">
        <f t="shared" si="22"/>
        <v>3.7972848787065359</v>
      </c>
      <c r="E67" s="49">
        <f>(36516131.34*60)/49877090</f>
        <v>43.927339794683292</v>
      </c>
      <c r="F67" s="40">
        <f>AVERAGE(F55:F66)</f>
        <v>328.91833333333335</v>
      </c>
      <c r="G67" s="49">
        <f t="shared" si="27"/>
        <v>7.2242536965171196</v>
      </c>
      <c r="H67" s="53">
        <f>(2900854.78*60)/49877090</f>
        <v>3.4896038802584508</v>
      </c>
      <c r="I67" s="53">
        <f>AVERAGE(I55:I66)</f>
        <v>107.16333333333331</v>
      </c>
      <c r="J67" s="90">
        <f t="shared" si="17"/>
        <v>0.18697879191071484</v>
      </c>
      <c r="K67" s="40">
        <f t="shared" si="23"/>
        <v>11.20851736713437</v>
      </c>
      <c r="L67" s="40">
        <f t="shared" si="24"/>
        <v>0.33878565329621024</v>
      </c>
      <c r="M67" s="42">
        <f t="shared" si="25"/>
        <v>0.66121434670378976</v>
      </c>
      <c r="N67" s="42">
        <f>AVERAGE(N55:N66)</f>
        <v>10.258333333333335</v>
      </c>
      <c r="O67" s="50">
        <f t="shared" si="26"/>
        <v>0.950184033801035</v>
      </c>
    </row>
    <row r="68" spans="1:15">
      <c r="A68" s="107" t="s">
        <v>417</v>
      </c>
      <c r="B68" s="42"/>
      <c r="C68" s="40"/>
      <c r="D68" s="42"/>
      <c r="E68" s="128"/>
      <c r="F68" s="40"/>
      <c r="G68" s="49"/>
      <c r="H68" s="90"/>
      <c r="I68" s="90"/>
      <c r="J68" s="90"/>
      <c r="K68" s="42"/>
      <c r="L68" s="42"/>
      <c r="M68" s="42"/>
      <c r="N68" s="42"/>
      <c r="O68" s="50"/>
    </row>
    <row r="69" spans="1:15">
      <c r="A69" t="s">
        <v>186</v>
      </c>
      <c r="B69" s="137">
        <f>(1299919*60)/(3399.751*2000)</f>
        <v>11.470713590495304</v>
      </c>
      <c r="C69" s="40">
        <v>30.96</v>
      </c>
      <c r="D69" s="42">
        <f t="shared" ref="D69:D79" si="28">(B69*C69)/100</f>
        <v>3.5513329276173464</v>
      </c>
      <c r="E69" s="137">
        <f>(2482657*60)/3399751</f>
        <v>43.814802907624703</v>
      </c>
      <c r="F69" s="40">
        <v>379.68</v>
      </c>
      <c r="G69" s="49">
        <f>E69*F69/2000</f>
        <v>8.3178021839834742</v>
      </c>
      <c r="H69" s="137">
        <f>(200877*60)/3399751</f>
        <v>3.5451478652407191</v>
      </c>
      <c r="I69" s="53">
        <v>96.67</v>
      </c>
      <c r="J69" s="53">
        <f t="shared" ref="J69:J81" si="29">H69*I69/2000</f>
        <v>0.17135472206641017</v>
      </c>
      <c r="K69" s="40">
        <f t="shared" ref="K69:K81" si="30">D69+G69+J69</f>
        <v>12.04048983366723</v>
      </c>
      <c r="L69" s="40">
        <f t="shared" ref="L69:L81" si="31">D69/K69</f>
        <v>0.29494920694066978</v>
      </c>
      <c r="M69" s="42">
        <f t="shared" ref="M69:M81" si="32">(+G69+J69)/K69</f>
        <v>0.70505079305933016</v>
      </c>
      <c r="N69" s="42">
        <v>10.119999999999999</v>
      </c>
      <c r="O69" s="50">
        <f t="shared" ref="O69:O81" si="33">K69-N69</f>
        <v>1.9204898336672311</v>
      </c>
    </row>
    <row r="70" spans="1:15">
      <c r="A70" t="s">
        <v>187</v>
      </c>
      <c r="B70" s="137">
        <f>(1825200*60)/(4891.5*2000)</f>
        <v>11.19411223551058</v>
      </c>
      <c r="C70" s="40">
        <v>33.15</v>
      </c>
      <c r="D70" s="42">
        <f t="shared" si="28"/>
        <v>3.7108482060717574</v>
      </c>
      <c r="E70" s="137">
        <f>(3578656*60)/4891500</f>
        <v>43.896424409690276</v>
      </c>
      <c r="F70" s="40">
        <v>325.69</v>
      </c>
      <c r="G70" s="49">
        <f t="shared" ref="G70:G79" si="34">E70*F70/2000</f>
        <v>7.1483132329960126</v>
      </c>
      <c r="H70" s="137">
        <f>(267000*60)/4891500</f>
        <v>3.2750689972401106</v>
      </c>
      <c r="I70" s="53">
        <v>91.36</v>
      </c>
      <c r="J70" s="53">
        <f t="shared" si="29"/>
        <v>0.14960515179392825</v>
      </c>
      <c r="K70" s="40">
        <f t="shared" si="30"/>
        <v>11.008766590861697</v>
      </c>
      <c r="L70" s="40">
        <f t="shared" si="31"/>
        <v>0.33708119574013928</v>
      </c>
      <c r="M70" s="42">
        <f t="shared" si="32"/>
        <v>0.66291880425986083</v>
      </c>
      <c r="N70" s="42">
        <v>9.7799999999999994</v>
      </c>
      <c r="O70" s="50">
        <f t="shared" si="33"/>
        <v>1.2287665908616976</v>
      </c>
    </row>
    <row r="71" spans="1:15">
      <c r="A71" t="s">
        <v>188</v>
      </c>
      <c r="B71" s="137">
        <f>(1853955*60)/(5060.619*2000)</f>
        <v>10.99048357523062</v>
      </c>
      <c r="C71" s="40">
        <v>36.590000000000003</v>
      </c>
      <c r="D71" s="42">
        <f t="shared" si="28"/>
        <v>4.0214179401768844</v>
      </c>
      <c r="E71" s="137">
        <f>(3696360*60)/5060619</f>
        <v>43.824994531301407</v>
      </c>
      <c r="F71" s="40">
        <v>328.18</v>
      </c>
      <c r="G71" s="49">
        <f t="shared" si="34"/>
        <v>7.1912433526412478</v>
      </c>
      <c r="H71" s="137">
        <f>(280185*60)/5060619</f>
        <v>3.3219453983791309</v>
      </c>
      <c r="I71" s="53">
        <v>86.97</v>
      </c>
      <c r="J71" s="53">
        <f t="shared" si="29"/>
        <v>0.14445479564851649</v>
      </c>
      <c r="K71" s="40">
        <f t="shared" si="30"/>
        <v>11.35711608846665</v>
      </c>
      <c r="L71" s="40">
        <f t="shared" si="31"/>
        <v>0.35408794881129235</v>
      </c>
      <c r="M71" s="42">
        <f t="shared" si="32"/>
        <v>0.64591205118870743</v>
      </c>
      <c r="N71" s="42">
        <v>10.09</v>
      </c>
      <c r="O71" s="50">
        <f t="shared" si="33"/>
        <v>1.2671160884666506</v>
      </c>
    </row>
    <row r="72" spans="1:15">
      <c r="A72" t="s">
        <v>189</v>
      </c>
      <c r="B72" s="137">
        <f>(1898259*60)/(5194.127*2000)</f>
        <v>10.963877086563343</v>
      </c>
      <c r="C72" s="40">
        <v>36.81</v>
      </c>
      <c r="D72" s="42">
        <f t="shared" si="28"/>
        <v>4.0358031555639666</v>
      </c>
      <c r="E72" s="137">
        <f>(3785027*60)/5194127</f>
        <v>43.722769966926109</v>
      </c>
      <c r="F72" s="40">
        <v>333.93</v>
      </c>
      <c r="G72" s="49">
        <f t="shared" si="34"/>
        <v>7.3001722875278183</v>
      </c>
      <c r="H72" s="137">
        <f>(291062*60)/5194127</f>
        <v>3.3622050442740425</v>
      </c>
      <c r="I72" s="53">
        <v>83.52</v>
      </c>
      <c r="J72" s="53">
        <f t="shared" si="29"/>
        <v>0.14040568264888401</v>
      </c>
      <c r="K72" s="40">
        <f t="shared" si="30"/>
        <v>11.476381125740669</v>
      </c>
      <c r="L72" s="40">
        <f t="shared" si="31"/>
        <v>0.3516616528630232</v>
      </c>
      <c r="M72" s="42">
        <f t="shared" si="32"/>
        <v>0.6483383471369768</v>
      </c>
      <c r="N72" s="42">
        <v>10.33</v>
      </c>
      <c r="O72" s="50">
        <f t="shared" si="33"/>
        <v>1.1463811257406693</v>
      </c>
    </row>
    <row r="73" spans="1:15">
      <c r="A73" t="s">
        <v>190</v>
      </c>
      <c r="B73" s="137">
        <f>(1844855.74*60)/(5016.4272*2000)</f>
        <v>11.032886553202646</v>
      </c>
      <c r="C73" s="40">
        <v>34.880000000000003</v>
      </c>
      <c r="D73" s="42">
        <f t="shared" si="28"/>
        <v>3.8482708297570833</v>
      </c>
      <c r="E73" s="137">
        <f>(3656432.96*60)/5016427.2</f>
        <v>43.733511691348774</v>
      </c>
      <c r="F73" s="40">
        <v>314.23</v>
      </c>
      <c r="G73" s="49">
        <f t="shared" si="34"/>
        <v>6.8711906893862631</v>
      </c>
      <c r="H73" s="137">
        <f>(276801*60)/5015716</f>
        <v>3.311204222886623</v>
      </c>
      <c r="I73" s="53">
        <v>97.5</v>
      </c>
      <c r="J73" s="53">
        <f t="shared" si="29"/>
        <v>0.16142120586572287</v>
      </c>
      <c r="K73" s="40">
        <f t="shared" si="30"/>
        <v>10.880882725009069</v>
      </c>
      <c r="L73" s="40">
        <f t="shared" si="31"/>
        <v>0.35367266857054336</v>
      </c>
      <c r="M73" s="42">
        <f t="shared" si="32"/>
        <v>0.64632733142945664</v>
      </c>
      <c r="N73" s="42">
        <v>9.84</v>
      </c>
      <c r="O73" s="50">
        <f t="shared" si="33"/>
        <v>1.0408827250090695</v>
      </c>
    </row>
    <row r="74" spans="1:15">
      <c r="A74" t="s">
        <v>191</v>
      </c>
      <c r="B74" s="137">
        <f>(1690098*60)/(4615.692*2000)</f>
        <v>10.984905405300006</v>
      </c>
      <c r="C74" s="40">
        <v>34.69</v>
      </c>
      <c r="D74" s="42">
        <f t="shared" si="28"/>
        <v>3.8106636850985716</v>
      </c>
      <c r="E74" s="137">
        <f>(3375214*60)/4615692</f>
        <v>43.874859934328377</v>
      </c>
      <c r="F74" s="40">
        <v>295.79000000000002</v>
      </c>
      <c r="G74" s="49">
        <f t="shared" si="34"/>
        <v>6.4888724099874961</v>
      </c>
      <c r="H74" s="137">
        <f>(260295*60)/4615692</f>
        <v>3.3836096515972036</v>
      </c>
      <c r="I74" s="53">
        <v>101.71</v>
      </c>
      <c r="J74" s="53">
        <f t="shared" si="29"/>
        <v>0.1720734688319758</v>
      </c>
      <c r="K74" s="40">
        <f t="shared" si="30"/>
        <v>10.471609563918044</v>
      </c>
      <c r="L74" s="40">
        <f t="shared" si="31"/>
        <v>0.36390429397109592</v>
      </c>
      <c r="M74" s="42">
        <f t="shared" si="32"/>
        <v>0.63609570602890408</v>
      </c>
      <c r="N74" s="42">
        <v>9.44</v>
      </c>
      <c r="O74" s="50">
        <f t="shared" si="33"/>
        <v>1.0316095639180443</v>
      </c>
    </row>
    <row r="75" spans="1:15">
      <c r="A75" t="s">
        <v>192</v>
      </c>
      <c r="B75" s="137">
        <f>(1727705.71*60)/(4681.65478*2000)</f>
        <v>11.071122014682166</v>
      </c>
      <c r="C75" s="40">
        <v>36.39</v>
      </c>
      <c r="D75" s="42">
        <f t="shared" si="28"/>
        <v>4.0287813011428399</v>
      </c>
      <c r="E75" s="137">
        <f>(3415264.38*60)/4681654.78</f>
        <v>43.769964345811928</v>
      </c>
      <c r="F75" s="40">
        <v>277.61</v>
      </c>
      <c r="G75" s="49">
        <f t="shared" si="34"/>
        <v>6.0754899010204255</v>
      </c>
      <c r="H75" s="137">
        <f>(264751*60)/4684315</f>
        <v>3.3911169509309258</v>
      </c>
      <c r="I75" s="53">
        <v>90.65</v>
      </c>
      <c r="J75" s="53">
        <f t="shared" si="29"/>
        <v>0.15370237580094423</v>
      </c>
      <c r="K75" s="40">
        <f t="shared" si="30"/>
        <v>10.25797357796421</v>
      </c>
      <c r="L75" s="40">
        <f t="shared" si="31"/>
        <v>0.39274631295573964</v>
      </c>
      <c r="M75" s="42">
        <f t="shared" si="32"/>
        <v>0.6072536870442603</v>
      </c>
      <c r="N75" s="42">
        <v>9.49</v>
      </c>
      <c r="O75" s="50">
        <f t="shared" si="33"/>
        <v>0.7679735779642094</v>
      </c>
    </row>
    <row r="76" spans="1:15">
      <c r="A76" t="s">
        <v>193</v>
      </c>
      <c r="B76" s="137">
        <f>(1518120.3*60)/(4093.78492*2000)</f>
        <v>11.125061499322735</v>
      </c>
      <c r="C76" s="40">
        <v>37.11</v>
      </c>
      <c r="D76" s="42">
        <f t="shared" si="28"/>
        <v>4.1285103223986672</v>
      </c>
      <c r="E76" s="137">
        <f>(2981511.76*60)/4093784.92</f>
        <v>43.698120222691131</v>
      </c>
      <c r="F76" s="40">
        <v>291.20999999999998</v>
      </c>
      <c r="G76" s="49">
        <f t="shared" si="34"/>
        <v>6.3626647950249415</v>
      </c>
      <c r="H76" s="137">
        <f>(230496*60)/4096412</f>
        <v>3.3760666651694216</v>
      </c>
      <c r="I76" s="53">
        <v>82.74</v>
      </c>
      <c r="J76" s="53">
        <f t="shared" si="29"/>
        <v>0.13966787793805896</v>
      </c>
      <c r="K76" s="40">
        <f t="shared" si="30"/>
        <v>10.630842995361668</v>
      </c>
      <c r="L76" s="40">
        <f t="shared" si="31"/>
        <v>0.3883521113236244</v>
      </c>
      <c r="M76" s="42">
        <f t="shared" si="32"/>
        <v>0.61164788867637565</v>
      </c>
      <c r="N76" s="42">
        <v>9.75</v>
      </c>
      <c r="O76" s="50">
        <f t="shared" si="33"/>
        <v>0.8808429953616681</v>
      </c>
    </row>
    <row r="77" spans="1:15">
      <c r="A77" t="s">
        <v>196</v>
      </c>
      <c r="B77" s="137">
        <f>(1481564.85*60)/(3988.61645*2000)</f>
        <v>11.143449378292566</v>
      </c>
      <c r="C77" s="40">
        <v>35.409999999999997</v>
      </c>
      <c r="D77" s="42">
        <f t="shared" si="28"/>
        <v>3.9458954248533975</v>
      </c>
      <c r="E77" s="137">
        <f>(2921012.2*60)/3988616.45</f>
        <v>43.940231956873163</v>
      </c>
      <c r="F77" s="40">
        <v>287.85000000000002</v>
      </c>
      <c r="G77" s="49">
        <f t="shared" si="34"/>
        <v>6.3240978843929705</v>
      </c>
      <c r="H77" s="137">
        <f>(223450*60)/3988616</f>
        <v>3.3613163062074665</v>
      </c>
      <c r="I77" s="53">
        <v>77.63</v>
      </c>
      <c r="J77" s="53">
        <f t="shared" si="29"/>
        <v>0.13046949242544281</v>
      </c>
      <c r="K77" s="40">
        <f t="shared" si="30"/>
        <v>10.400462801671811</v>
      </c>
      <c r="L77" s="40">
        <f t="shared" si="31"/>
        <v>0.37939613843137049</v>
      </c>
      <c r="M77" s="42">
        <f t="shared" si="32"/>
        <v>0.62060386156862957</v>
      </c>
      <c r="N77" s="42">
        <v>9.5500000000000007</v>
      </c>
      <c r="O77" s="50">
        <f t="shared" si="33"/>
        <v>0.8504628016718101</v>
      </c>
    </row>
    <row r="78" spans="1:15">
      <c r="A78" t="s">
        <v>194</v>
      </c>
      <c r="B78" s="137">
        <f>(1442238.9*60)/(3884.29876*2000)</f>
        <v>11.138990503397839</v>
      </c>
      <c r="C78" s="40">
        <v>34.47</v>
      </c>
      <c r="D78" s="42">
        <f t="shared" si="28"/>
        <v>3.839610026521235</v>
      </c>
      <c r="E78" s="137">
        <f>(2839787.64*60)/3884298.76</f>
        <v>43.865641890017756</v>
      </c>
      <c r="F78" s="40">
        <v>305.77999999999997</v>
      </c>
      <c r="G78" s="49">
        <f t="shared" si="34"/>
        <v>6.7066179885648145</v>
      </c>
      <c r="H78" s="137">
        <f>(216275*60)/3875035</f>
        <v>3.3487439468288676</v>
      </c>
      <c r="I78" s="53">
        <v>79.319999999999993</v>
      </c>
      <c r="J78" s="53">
        <f t="shared" si="29"/>
        <v>0.13281118493123287</v>
      </c>
      <c r="K78" s="40">
        <f t="shared" si="30"/>
        <v>10.679039200017282</v>
      </c>
      <c r="L78" s="40">
        <f t="shared" si="31"/>
        <v>0.35954639313572528</v>
      </c>
      <c r="M78" s="42">
        <f t="shared" si="32"/>
        <v>0.64045360686427477</v>
      </c>
      <c r="N78" s="42">
        <v>9.5500000000000007</v>
      </c>
      <c r="O78" s="50">
        <f t="shared" si="33"/>
        <v>1.1290392000172815</v>
      </c>
    </row>
    <row r="79" spans="1:15">
      <c r="A79" t="s">
        <v>195</v>
      </c>
      <c r="B79" s="137">
        <f>(1440451.02*60)/(3880.92194*2000)</f>
        <v>11.134862094134261</v>
      </c>
      <c r="C79" s="40">
        <v>35.07</v>
      </c>
      <c r="D79" s="42">
        <f t="shared" si="28"/>
        <v>3.9049961364128851</v>
      </c>
      <c r="E79" s="137">
        <f>(2837937.16*60)/3880921.94</f>
        <v>43.875200849826939</v>
      </c>
      <c r="F79" s="40">
        <v>325.56</v>
      </c>
      <c r="G79" s="49">
        <f t="shared" si="34"/>
        <v>7.1420051943348293</v>
      </c>
      <c r="H79" s="137">
        <f>(218170*60)/3880922</f>
        <v>3.3729613736117345</v>
      </c>
      <c r="I79" s="53">
        <v>82.38</v>
      </c>
      <c r="J79" s="53">
        <f t="shared" si="29"/>
        <v>0.13893227897906735</v>
      </c>
      <c r="K79" s="40">
        <f t="shared" si="30"/>
        <v>11.185933609726783</v>
      </c>
      <c r="L79" s="40">
        <f t="shared" si="31"/>
        <v>0.34909881219188327</v>
      </c>
      <c r="M79" s="42">
        <f t="shared" si="32"/>
        <v>0.65090118780811657</v>
      </c>
      <c r="N79" s="42">
        <v>10.3</v>
      </c>
      <c r="O79" s="50">
        <f t="shared" si="33"/>
        <v>0.88593360972678248</v>
      </c>
    </row>
    <row r="80" spans="1:15">
      <c r="A80" t="s">
        <v>205</v>
      </c>
      <c r="B80" s="137">
        <f>(1418447.8*60)/(3843.195*2000)</f>
        <v>11.072410845663569</v>
      </c>
      <c r="C80" s="40">
        <v>37.57</v>
      </c>
      <c r="D80" s="42">
        <f>(B80*C80)/100</f>
        <v>4.1599047547158028</v>
      </c>
      <c r="E80" s="137">
        <f>(2806180.9*60)/3843195</f>
        <v>43.810125169292739</v>
      </c>
      <c r="F80" s="40">
        <v>331.76</v>
      </c>
      <c r="G80" s="49">
        <f>E80*F80/2000</f>
        <v>7.2672235630822799</v>
      </c>
      <c r="H80" s="137">
        <f>(224409*60)/3843195</f>
        <v>3.5034756237973874</v>
      </c>
      <c r="I80" s="53">
        <v>92.75</v>
      </c>
      <c r="J80" s="53">
        <f t="shared" si="29"/>
        <v>0.16247368205360385</v>
      </c>
      <c r="K80" s="40">
        <f t="shared" si="30"/>
        <v>11.589601999851686</v>
      </c>
      <c r="L80" s="40">
        <f t="shared" si="31"/>
        <v>0.35893422006804354</v>
      </c>
      <c r="M80" s="42">
        <f t="shared" si="32"/>
        <v>0.64106577993195657</v>
      </c>
      <c r="N80" s="42">
        <v>10.66</v>
      </c>
      <c r="O80" s="50">
        <f t="shared" si="33"/>
        <v>0.92960199985168579</v>
      </c>
    </row>
    <row r="81" spans="1:15">
      <c r="A81" s="38" t="s">
        <v>226</v>
      </c>
      <c r="B81" s="137">
        <f>(19440815.32*60)/(52550.58805*2000)</f>
        <v>11.098343163069515</v>
      </c>
      <c r="C81" s="40">
        <f>AVERAGE(C69:C80)</f>
        <v>35.258333333333333</v>
      </c>
      <c r="D81" s="42">
        <f>(B81*C81)/100</f>
        <v>3.9130908269122595</v>
      </c>
      <c r="E81" s="137">
        <f>(38376041*60)/52550588.05</f>
        <v>43.81611215861551</v>
      </c>
      <c r="F81" s="40">
        <f>AVERAGE(F69:F80)</f>
        <v>316.43916666666661</v>
      </c>
      <c r="G81" s="49">
        <f>E81*F81/2000</f>
        <v>6.9325670090227449</v>
      </c>
      <c r="H81" s="137">
        <f>(2953771*60)/52545900</f>
        <v>3.3727895040336162</v>
      </c>
      <c r="I81" s="53">
        <f>AVERAGE(I69:I80)</f>
        <v>88.59999999999998</v>
      </c>
      <c r="J81" s="53">
        <f t="shared" si="29"/>
        <v>0.14941457502868918</v>
      </c>
      <c r="K81" s="40">
        <f t="shared" si="30"/>
        <v>10.995072410963694</v>
      </c>
      <c r="L81" s="40">
        <f t="shared" si="31"/>
        <v>0.35589495736384019</v>
      </c>
      <c r="M81" s="42">
        <f t="shared" si="32"/>
        <v>0.64410504263615975</v>
      </c>
      <c r="N81" s="42">
        <f>AVERAGE(N69:N80)</f>
        <v>9.9083333333333314</v>
      </c>
      <c r="O81" s="50">
        <f t="shared" si="33"/>
        <v>1.0867390776303623</v>
      </c>
    </row>
    <row r="82" spans="1:15">
      <c r="A82" s="107" t="s">
        <v>420</v>
      </c>
      <c r="B82" s="42"/>
      <c r="C82" s="40"/>
      <c r="D82" s="42"/>
      <c r="E82" s="128"/>
      <c r="F82" s="40"/>
      <c r="G82" s="49"/>
      <c r="H82" s="90"/>
      <c r="I82" s="90"/>
      <c r="J82" s="90"/>
      <c r="K82" s="42"/>
      <c r="L82" s="42"/>
      <c r="M82" s="42"/>
      <c r="N82" s="42"/>
      <c r="O82" s="50"/>
    </row>
    <row r="83" spans="1:15">
      <c r="A83" t="s">
        <v>186</v>
      </c>
      <c r="B83" s="137">
        <f>(1474417.2*60)/(3910.8754*2000)</f>
        <v>11.310131741860147</v>
      </c>
      <c r="C83" s="40">
        <v>39.21</v>
      </c>
      <c r="D83" s="42">
        <f t="shared" ref="D83:D93" si="35">(B83*C83)/100</f>
        <v>4.4347026559833633</v>
      </c>
      <c r="E83" s="137">
        <f>(2836038.5*60)/3910875.4</f>
        <v>43.510031027835865</v>
      </c>
      <c r="F83" s="40">
        <v>317.64999999999998</v>
      </c>
      <c r="G83" s="49">
        <f>E83*F83/2000</f>
        <v>6.9104806779960306</v>
      </c>
      <c r="H83" s="137">
        <f>(223644.7*60)/3910875.4</f>
        <v>3.4311197948162708</v>
      </c>
      <c r="I83" s="53">
        <v>113.52</v>
      </c>
      <c r="J83" s="53">
        <f t="shared" ref="J83:J95" si="36">H83*I83/2000</f>
        <v>0.19475035955377151</v>
      </c>
      <c r="K83" s="40">
        <f t="shared" ref="K83:K95" si="37">D83+G83+J83</f>
        <v>11.539933693533165</v>
      </c>
      <c r="L83" s="40">
        <f t="shared" ref="L83:L95" si="38">D83/K83</f>
        <v>0.38429186629282935</v>
      </c>
      <c r="M83" s="42">
        <f t="shared" ref="M83:M95" si="39">(+G83+J83)/K83</f>
        <v>0.6157081337071707</v>
      </c>
      <c r="N83" s="42">
        <v>10.65</v>
      </c>
      <c r="O83" s="50">
        <f t="shared" ref="O83:O109" si="40">K83-N83</f>
        <v>0.88993369353316432</v>
      </c>
    </row>
    <row r="84" spans="1:15">
      <c r="A84" t="s">
        <v>187</v>
      </c>
      <c r="B84" s="137">
        <f>(1790543.39*60)/(4716.39359*2000)</f>
        <v>11.389274596143279</v>
      </c>
      <c r="C84" s="40">
        <v>44.02</v>
      </c>
      <c r="D84" s="42">
        <f t="shared" si="35"/>
        <v>5.0135586772222718</v>
      </c>
      <c r="E84" s="137">
        <f>(3475802.73*60)/4716393.59</f>
        <v>44.21771843685336</v>
      </c>
      <c r="F84" s="40">
        <v>321.92</v>
      </c>
      <c r="G84" s="49">
        <f t="shared" ref="G84:G93" si="41">E84*F84/2000</f>
        <v>7.1172839595959179</v>
      </c>
      <c r="H84" s="137">
        <f>(262267.37*60)/4716393.59</f>
        <v>3.3364565318222308</v>
      </c>
      <c r="I84" s="53">
        <v>140.47999999999999</v>
      </c>
      <c r="J84" s="53">
        <f t="shared" si="36"/>
        <v>0.23435270679519349</v>
      </c>
      <c r="K84" s="40">
        <f t="shared" si="37"/>
        <v>12.365195343613385</v>
      </c>
      <c r="L84" s="40">
        <f t="shared" si="38"/>
        <v>0.40545729670269798</v>
      </c>
      <c r="M84" s="42">
        <f t="shared" si="39"/>
        <v>0.59454270329730186</v>
      </c>
      <c r="N84" s="42">
        <v>11.48</v>
      </c>
      <c r="O84" s="50">
        <f t="shared" si="40"/>
        <v>0.88519534361338437</v>
      </c>
    </row>
    <row r="85" spans="1:15">
      <c r="A85" t="s">
        <v>188</v>
      </c>
      <c r="B85" s="137">
        <f>(1771201.2*60)/(4651.751*2000)</f>
        <v>11.422803155198977</v>
      </c>
      <c r="C85" s="40">
        <v>47.62</v>
      </c>
      <c r="D85" s="42">
        <f t="shared" si="35"/>
        <v>5.4395388625057528</v>
      </c>
      <c r="E85" s="137">
        <f>(3447649.3*60)/4651751</f>
        <v>44.469052191314624</v>
      </c>
      <c r="F85" s="40">
        <v>341.78</v>
      </c>
      <c r="G85" s="49">
        <f t="shared" si="41"/>
        <v>7.5993163289737558</v>
      </c>
      <c r="H85" s="137">
        <f>(272399.8*60)/4651751</f>
        <v>3.5135130835678865</v>
      </c>
      <c r="I85" s="53">
        <v>157.38</v>
      </c>
      <c r="J85" s="53">
        <f t="shared" si="36"/>
        <v>0.27647834454595699</v>
      </c>
      <c r="K85" s="40">
        <f t="shared" si="37"/>
        <v>13.315333536025467</v>
      </c>
      <c r="L85" s="40">
        <f t="shared" si="38"/>
        <v>0.40851690630120086</v>
      </c>
      <c r="M85" s="42">
        <f t="shared" si="39"/>
        <v>0.59148309369879914</v>
      </c>
      <c r="N85" s="42">
        <v>12.52</v>
      </c>
      <c r="O85" s="50">
        <f t="shared" si="40"/>
        <v>0.79533353602546697</v>
      </c>
    </row>
    <row r="86" spans="1:15">
      <c r="A86" t="s">
        <v>189</v>
      </c>
      <c r="B86" s="137">
        <f>(1731506.15*60)/(4570.40185*2000)</f>
        <v>11.365561761270509</v>
      </c>
      <c r="C86" s="40">
        <v>51.51</v>
      </c>
      <c r="D86" s="42">
        <f t="shared" si="35"/>
        <v>5.8544008632304392</v>
      </c>
      <c r="E86" s="137">
        <f>(3397763.35*60)/4570401.85</f>
        <v>44.60566219138915</v>
      </c>
      <c r="F86" s="40">
        <v>351.93</v>
      </c>
      <c r="G86" s="49">
        <f t="shared" si="41"/>
        <v>7.8490353475077921</v>
      </c>
      <c r="H86" s="137">
        <f>(277780.5*60)/4570401.85</f>
        <v>3.6466880915515123</v>
      </c>
      <c r="I86" s="53">
        <v>155</v>
      </c>
      <c r="J86" s="53">
        <f t="shared" si="36"/>
        <v>0.28261832709524221</v>
      </c>
      <c r="K86" s="40">
        <f t="shared" si="37"/>
        <v>13.986054537833475</v>
      </c>
      <c r="L86" s="40">
        <f t="shared" si="38"/>
        <v>0.41858844804256867</v>
      </c>
      <c r="M86" s="42">
        <f t="shared" si="39"/>
        <v>0.58141155195743133</v>
      </c>
      <c r="N86" s="42">
        <v>13.11</v>
      </c>
      <c r="O86" s="50">
        <f t="shared" si="40"/>
        <v>0.87605453783347542</v>
      </c>
    </row>
    <row r="87" spans="1:15">
      <c r="A87" t="s">
        <v>190</v>
      </c>
      <c r="B87" s="137">
        <f>(1722940*60)/(4475.043*2000)</f>
        <v>11.550324767829046</v>
      </c>
      <c r="C87" s="40">
        <v>53.84</v>
      </c>
      <c r="D87" s="42">
        <f t="shared" si="35"/>
        <v>6.2186948549991587</v>
      </c>
      <c r="E87" s="137">
        <f>(3298360*60)/4475043</f>
        <v>44.223396289152973</v>
      </c>
      <c r="F87" s="40">
        <v>368.54</v>
      </c>
      <c r="G87" s="49">
        <f t="shared" si="41"/>
        <v>8.1490452342022195</v>
      </c>
      <c r="H87" s="137">
        <f>(271099*60)/4475043</f>
        <v>3.6348120006891556</v>
      </c>
      <c r="I87" s="53">
        <v>157.5</v>
      </c>
      <c r="J87" s="53">
        <f t="shared" si="36"/>
        <v>0.28624144505427102</v>
      </c>
      <c r="K87" s="40">
        <f t="shared" si="37"/>
        <v>14.653981534255649</v>
      </c>
      <c r="L87" s="40">
        <f t="shared" si="38"/>
        <v>0.42436895668676289</v>
      </c>
      <c r="M87" s="42">
        <f t="shared" si="39"/>
        <v>0.57563104331323711</v>
      </c>
      <c r="N87" s="42">
        <v>13.78</v>
      </c>
      <c r="O87" s="50">
        <f t="shared" si="40"/>
        <v>0.87398153425565006</v>
      </c>
    </row>
    <row r="88" spans="1:15">
      <c r="A88" t="s">
        <v>191</v>
      </c>
      <c r="B88" s="137">
        <f>(1500030*60)/(3882.405*2000)</f>
        <v>11.590985484512821</v>
      </c>
      <c r="C88" s="40">
        <v>54.21</v>
      </c>
      <c r="D88" s="42">
        <f t="shared" si="35"/>
        <v>6.2834732311544004</v>
      </c>
      <c r="E88" s="137">
        <f>(2889211*60)/3882405</f>
        <v>44.650844000046362</v>
      </c>
      <c r="F88" s="40">
        <v>358.59</v>
      </c>
      <c r="G88" s="49">
        <f t="shared" si="41"/>
        <v>8.0056730749883123</v>
      </c>
      <c r="H88" s="137">
        <f>(236939*60)/3882405</f>
        <v>3.6617354449110797</v>
      </c>
      <c r="I88" s="53">
        <v>156.97</v>
      </c>
      <c r="J88" s="53">
        <f t="shared" si="36"/>
        <v>0.28739130639384608</v>
      </c>
      <c r="K88" s="40">
        <f t="shared" si="37"/>
        <v>14.576537612536558</v>
      </c>
      <c r="L88" s="40">
        <f t="shared" si="38"/>
        <v>0.43106761003040228</v>
      </c>
      <c r="M88" s="42">
        <f t="shared" si="39"/>
        <v>0.56893238996959772</v>
      </c>
      <c r="N88" s="42">
        <v>13.86</v>
      </c>
      <c r="O88" s="50">
        <f t="shared" si="40"/>
        <v>0.71653761253655901</v>
      </c>
    </row>
    <row r="89" spans="1:15">
      <c r="A89" t="s">
        <v>192</v>
      </c>
      <c r="B89" s="137">
        <f>(1623774*60)/(4208.023*2000)</f>
        <v>11.57627227797947</v>
      </c>
      <c r="C89" s="40">
        <v>54.07</v>
      </c>
      <c r="D89" s="42">
        <f t="shared" si="35"/>
        <v>6.2592904207034996</v>
      </c>
      <c r="E89" s="137">
        <f>(3111911*60)/4208023</f>
        <v>44.371112040024499</v>
      </c>
      <c r="F89" s="40">
        <v>345.43</v>
      </c>
      <c r="G89" s="49">
        <f t="shared" si="41"/>
        <v>7.6635566159928308</v>
      </c>
      <c r="H89" s="137">
        <f>(259694*60)/4208023</f>
        <v>3.7028409778178495</v>
      </c>
      <c r="I89" s="53">
        <v>157.16999999999999</v>
      </c>
      <c r="J89" s="53">
        <f t="shared" si="36"/>
        <v>0.29098775824181572</v>
      </c>
      <c r="K89" s="40">
        <f t="shared" si="37"/>
        <v>14.213834794938146</v>
      </c>
      <c r="L89" s="40">
        <f t="shared" si="38"/>
        <v>0.44036605961767394</v>
      </c>
      <c r="M89" s="42">
        <f t="shared" si="39"/>
        <v>0.55963394038232606</v>
      </c>
      <c r="N89" s="42">
        <v>13.5</v>
      </c>
      <c r="O89" s="50">
        <f t="shared" si="40"/>
        <v>0.71383479493814583</v>
      </c>
    </row>
    <row r="90" spans="1:15">
      <c r="A90" t="s">
        <v>193</v>
      </c>
      <c r="B90" s="137">
        <f>(1504598*60)/(3839.636*2000)</f>
        <v>11.755786225569299</v>
      </c>
      <c r="C90" s="40">
        <v>56.65</v>
      </c>
      <c r="D90" s="42">
        <f t="shared" si="35"/>
        <v>6.6596528967850075</v>
      </c>
      <c r="E90" s="137">
        <f>(2873217*60)/3839636</f>
        <v>44.898271606996083</v>
      </c>
      <c r="F90" s="40">
        <v>335.87</v>
      </c>
      <c r="G90" s="49">
        <f t="shared" si="41"/>
        <v>7.5399912423208875</v>
      </c>
      <c r="H90" s="137">
        <f>(239721*60)/3839636</f>
        <v>3.7459957141770732</v>
      </c>
      <c r="I90" s="53">
        <v>159.63</v>
      </c>
      <c r="J90" s="53">
        <f t="shared" si="36"/>
        <v>0.29898664792704305</v>
      </c>
      <c r="K90" s="40">
        <f t="shared" si="37"/>
        <v>14.498630787032939</v>
      </c>
      <c r="L90" s="40">
        <f t="shared" si="38"/>
        <v>0.45932978048804202</v>
      </c>
      <c r="M90" s="42">
        <f t="shared" si="39"/>
        <v>0.54067021951195793</v>
      </c>
      <c r="N90" s="42">
        <v>13.64</v>
      </c>
      <c r="O90" s="50">
        <f t="shared" si="40"/>
        <v>0.85863078703293816</v>
      </c>
    </row>
    <row r="91" spans="1:15">
      <c r="A91" t="s">
        <v>196</v>
      </c>
      <c r="B91" s="137">
        <f>(1491195*60)/(3841.157*2000)</f>
        <v>11.646451837297981</v>
      </c>
      <c r="C91" s="40">
        <v>56.09</v>
      </c>
      <c r="D91" s="42">
        <f t="shared" si="35"/>
        <v>6.5324948355404375</v>
      </c>
      <c r="E91" s="137">
        <f>(2865776*60)/3841157</f>
        <v>44.764262434469615</v>
      </c>
      <c r="F91" s="40">
        <v>342.3</v>
      </c>
      <c r="G91" s="49">
        <f t="shared" si="41"/>
        <v>7.6614035156594742</v>
      </c>
      <c r="H91" s="137">
        <f>(234746*60)/3841157</f>
        <v>3.6668014350884381</v>
      </c>
      <c r="I91" s="53">
        <v>164.86</v>
      </c>
      <c r="J91" s="53">
        <f t="shared" si="36"/>
        <v>0.30225444229433995</v>
      </c>
      <c r="K91" s="40">
        <f t="shared" si="37"/>
        <v>14.496152793494252</v>
      </c>
      <c r="L91" s="40">
        <f t="shared" si="38"/>
        <v>0.45063645013952702</v>
      </c>
      <c r="M91" s="42">
        <f t="shared" si="39"/>
        <v>0.54936354986047298</v>
      </c>
      <c r="N91" s="42">
        <v>13.68</v>
      </c>
      <c r="O91" s="50">
        <f t="shared" si="40"/>
        <v>0.81615279349425229</v>
      </c>
    </row>
    <row r="92" spans="1:15">
      <c r="A92" t="s">
        <v>194</v>
      </c>
      <c r="B92" s="137">
        <f>(1437997*60)/(3708.711*2000)</f>
        <v>11.632049518013131</v>
      </c>
      <c r="C92" s="40">
        <v>55.68</v>
      </c>
      <c r="D92" s="42">
        <f t="shared" si="35"/>
        <v>6.4767251716297123</v>
      </c>
      <c r="E92" s="137">
        <f>(2746586*60)/3708711</f>
        <v>44.434618928247581</v>
      </c>
      <c r="F92" s="40">
        <v>347.45</v>
      </c>
      <c r="G92" s="49">
        <f t="shared" si="41"/>
        <v>7.7194041733098109</v>
      </c>
      <c r="H92" s="137">
        <f>(226906*60)/3708711</f>
        <v>3.670914234082947</v>
      </c>
      <c r="I92" s="53">
        <v>175.34</v>
      </c>
      <c r="J92" s="53">
        <f t="shared" si="36"/>
        <v>0.32182905090205194</v>
      </c>
      <c r="K92" s="40">
        <f t="shared" si="37"/>
        <v>14.517958395841575</v>
      </c>
      <c r="L92" s="40">
        <f t="shared" si="38"/>
        <v>0.44611817963914685</v>
      </c>
      <c r="M92" s="42">
        <f t="shared" si="39"/>
        <v>0.55388182036085321</v>
      </c>
      <c r="N92" s="42">
        <v>13.82</v>
      </c>
      <c r="O92" s="50">
        <f t="shared" si="40"/>
        <v>0.69795839584157449</v>
      </c>
    </row>
    <row r="93" spans="1:15">
      <c r="A93" t="s">
        <v>195</v>
      </c>
      <c r="B93" s="137">
        <f>(1504674*60)/(3886.8813*2000)</f>
        <v>11.613480452824737</v>
      </c>
      <c r="C93" s="40">
        <v>55.16</v>
      </c>
      <c r="D93" s="42">
        <f t="shared" si="35"/>
        <v>6.4059958177781242</v>
      </c>
      <c r="E93" s="137">
        <f>(2857622*60)/3886881</f>
        <v>44.111800695724924</v>
      </c>
      <c r="F93" s="40">
        <v>346.52</v>
      </c>
      <c r="G93" s="49">
        <f t="shared" si="41"/>
        <v>7.6428105885413</v>
      </c>
      <c r="H93" s="137">
        <f>(239432*60)/3886881</f>
        <v>3.6960020129250162</v>
      </c>
      <c r="I93" s="53">
        <v>189.5</v>
      </c>
      <c r="J93" s="53">
        <f t="shared" si="36"/>
        <v>0.35019619072464531</v>
      </c>
      <c r="K93" s="40">
        <f t="shared" si="37"/>
        <v>14.39900259704407</v>
      </c>
      <c r="L93" s="40">
        <f t="shared" si="38"/>
        <v>0.44489163569518297</v>
      </c>
      <c r="M93" s="42">
        <f t="shared" si="39"/>
        <v>0.55510836430481691</v>
      </c>
      <c r="N93" s="42">
        <v>13.84</v>
      </c>
      <c r="O93" s="50">
        <f t="shared" si="40"/>
        <v>0.55900259704407063</v>
      </c>
    </row>
    <row r="94" spans="1:15">
      <c r="A94" t="s">
        <v>205</v>
      </c>
      <c r="B94" s="137">
        <f>(1458750)/125000</f>
        <v>11.67</v>
      </c>
      <c r="C94" s="40">
        <v>54.39</v>
      </c>
      <c r="D94" s="42">
        <f>(B94*C94)/100</f>
        <v>6.3473130000000006</v>
      </c>
      <c r="E94" s="137">
        <f>(2779375*2)/125000</f>
        <v>44.47</v>
      </c>
      <c r="F94" s="40">
        <v>349.6</v>
      </c>
      <c r="G94" s="49">
        <f>E94*F94/2000</f>
        <v>7.7733560000000006</v>
      </c>
      <c r="H94" s="137">
        <f>(222525*2)/125000</f>
        <v>3.5604</v>
      </c>
      <c r="I94" s="53">
        <v>216.3</v>
      </c>
      <c r="J94" s="53">
        <f t="shared" si="36"/>
        <v>0.38505726000000007</v>
      </c>
      <c r="K94" s="40">
        <f t="shared" si="37"/>
        <v>14.505726260000001</v>
      </c>
      <c r="L94" s="40">
        <f t="shared" si="38"/>
        <v>0.4375729202544596</v>
      </c>
      <c r="M94" s="42">
        <f t="shared" si="39"/>
        <v>0.56242707974554051</v>
      </c>
      <c r="N94" s="42">
        <v>13.81</v>
      </c>
      <c r="O94" s="50">
        <f t="shared" si="40"/>
        <v>0.69572626000000071</v>
      </c>
    </row>
    <row r="95" spans="1:15">
      <c r="A95" s="38" t="s">
        <v>226</v>
      </c>
      <c r="B95" s="137">
        <f>(19011625.94*60)/(49441.27784*2000)</f>
        <v>11.535882629201883</v>
      </c>
      <c r="C95" s="40">
        <f>AVERAGE(C83:C94)</f>
        <v>51.870833333333316</v>
      </c>
      <c r="D95" s="42">
        <f>(B95*C95)/100</f>
        <v>5.9837584521222569</v>
      </c>
      <c r="E95" s="137">
        <f>(36579311.88*60)/49441277.84</f>
        <v>44.391221438543631</v>
      </c>
      <c r="F95" s="40">
        <f>AVERAGE(F83:F94)</f>
        <v>343.96499999999997</v>
      </c>
      <c r="G95" s="49">
        <f>E95*F95/2000</f>
        <v>7.6345132410543295</v>
      </c>
      <c r="H95" s="137">
        <f>(2967154.37*60)/49441277.84</f>
        <v>3.6008224297141265</v>
      </c>
      <c r="I95" s="53">
        <f>AVERAGE(I83:I94)</f>
        <v>161.97083333333333</v>
      </c>
      <c r="J95" s="53">
        <f t="shared" si="36"/>
        <v>0.29161410481307759</v>
      </c>
      <c r="K95" s="40">
        <f t="shared" si="37"/>
        <v>13.909885797989665</v>
      </c>
      <c r="L95" s="40">
        <f t="shared" si="38"/>
        <v>0.43018027171632589</v>
      </c>
      <c r="M95" s="42">
        <f t="shared" si="39"/>
        <v>0.569819728283674</v>
      </c>
      <c r="N95" s="42">
        <f>AVERAGE(N83:N94)</f>
        <v>13.140833333333333</v>
      </c>
      <c r="O95" s="50">
        <f t="shared" si="40"/>
        <v>0.76905246465633148</v>
      </c>
    </row>
    <row r="96" spans="1:15">
      <c r="A96" s="107" t="s">
        <v>495</v>
      </c>
      <c r="B96" s="230"/>
      <c r="C96" s="42"/>
      <c r="D96" s="42"/>
      <c r="E96" s="230"/>
      <c r="F96" s="42"/>
      <c r="G96" s="128"/>
      <c r="H96" s="230"/>
      <c r="I96" s="90"/>
      <c r="J96" s="90"/>
      <c r="K96" s="42"/>
      <c r="L96" s="42"/>
      <c r="M96" s="42"/>
      <c r="N96" s="90"/>
      <c r="O96" s="50"/>
    </row>
    <row r="97" spans="1:15">
      <c r="A97" t="s">
        <v>186</v>
      </c>
      <c r="B97" s="137">
        <f>(1531282)/(4036896*2/60)</f>
        <v>11.379649116548951</v>
      </c>
      <c r="C97" s="42">
        <v>26.43</v>
      </c>
      <c r="D97" s="42">
        <f t="shared" ref="D97:D107" si="42">(B97*C97)/100</f>
        <v>3.0076412615038874</v>
      </c>
      <c r="E97" s="137">
        <f>2974159/(4036896)*60</f>
        <v>44.204641387838578</v>
      </c>
      <c r="F97" s="40">
        <v>333.62</v>
      </c>
      <c r="G97" s="49">
        <f>E97*F97/2000</f>
        <v>7.3737762299053529</v>
      </c>
      <c r="H97" s="137">
        <f>(200994/4036896)*60</f>
        <v>2.9873546407933222</v>
      </c>
      <c r="I97" s="53">
        <v>137.86000000000001</v>
      </c>
      <c r="J97" s="53">
        <f t="shared" ref="J97:J109" si="43">H97*I97/2000</f>
        <v>0.20591835538988371</v>
      </c>
      <c r="K97" s="40">
        <f t="shared" ref="K97:K109" si="44">D97+G97+J97</f>
        <v>10.587335846799125</v>
      </c>
      <c r="L97" s="40">
        <f t="shared" ref="L97:L109" si="45">D97/K97</f>
        <v>0.28407913992954037</v>
      </c>
      <c r="M97" s="42">
        <f t="shared" ref="M97:M109" si="46">(+G97+J97)/K97</f>
        <v>0.71592086007045952</v>
      </c>
      <c r="N97" s="42">
        <v>8.91</v>
      </c>
      <c r="O97" s="50">
        <f t="shared" si="40"/>
        <v>1.6773358467991244</v>
      </c>
    </row>
    <row r="98" spans="1:15">
      <c r="A98" t="s">
        <v>187</v>
      </c>
      <c r="B98" s="137">
        <f>1962937/(5104010*2/60)</f>
        <v>11.537616501535068</v>
      </c>
      <c r="C98" s="42">
        <v>27.14</v>
      </c>
      <c r="D98" s="42">
        <f t="shared" si="42"/>
        <v>3.1313091185166173</v>
      </c>
      <c r="E98" s="137">
        <f>3742412/(5104010)*60</f>
        <v>43.993785278633858</v>
      </c>
      <c r="F98" s="40">
        <v>327.97</v>
      </c>
      <c r="G98" s="49">
        <f t="shared" ref="G98:G107" si="47">E98*F98/2000</f>
        <v>7.2143208789167739</v>
      </c>
      <c r="H98" s="137">
        <f>(258909/5104010)*60</f>
        <v>3.0435951340220728</v>
      </c>
      <c r="I98" s="53">
        <v>166.79</v>
      </c>
      <c r="J98" s="53">
        <f t="shared" si="43"/>
        <v>0.25382061620177077</v>
      </c>
      <c r="K98" s="40">
        <f t="shared" si="44"/>
        <v>10.599450613635163</v>
      </c>
      <c r="L98" s="40">
        <f t="shared" si="45"/>
        <v>0.2954218320040562</v>
      </c>
      <c r="M98" s="42">
        <f t="shared" si="46"/>
        <v>0.70457816799594375</v>
      </c>
      <c r="N98" s="42">
        <v>8.93</v>
      </c>
      <c r="O98" s="50">
        <f t="shared" si="40"/>
        <v>1.6694506136351634</v>
      </c>
    </row>
    <row r="99" spans="1:15">
      <c r="A99" t="s">
        <v>188</v>
      </c>
      <c r="B99" s="137">
        <f>1901853/(4973534*2/60)</f>
        <v>11.471840747444372</v>
      </c>
      <c r="C99" s="42">
        <v>26.42</v>
      </c>
      <c r="D99" s="42">
        <f t="shared" si="42"/>
        <v>3.0308603254748032</v>
      </c>
      <c r="E99" s="137">
        <f>3655750/(4973534)*60</f>
        <v>44.10244305156052</v>
      </c>
      <c r="F99" s="40">
        <v>308.60000000000002</v>
      </c>
      <c r="G99" s="49">
        <f t="shared" si="47"/>
        <v>6.8050069628557885</v>
      </c>
      <c r="H99" s="137">
        <f>(251965/4973534)*60</f>
        <v>3.0396695790156456</v>
      </c>
      <c r="I99" s="53">
        <v>139.03</v>
      </c>
      <c r="J99" s="53">
        <f t="shared" si="43"/>
        <v>0.21130263078527262</v>
      </c>
      <c r="K99" s="40">
        <f t="shared" si="44"/>
        <v>10.047169919115865</v>
      </c>
      <c r="L99" s="40">
        <f t="shared" si="45"/>
        <v>0.30166309019102511</v>
      </c>
      <c r="M99" s="42">
        <f t="shared" si="46"/>
        <v>0.69833690980897489</v>
      </c>
      <c r="N99" s="42">
        <v>8.83</v>
      </c>
      <c r="O99" s="50">
        <f t="shared" si="40"/>
        <v>1.2171699191158645</v>
      </c>
    </row>
    <row r="100" spans="1:15">
      <c r="A100" t="s">
        <v>189</v>
      </c>
      <c r="B100" s="137">
        <f>1929027/(5011324*2/60)</f>
        <v>11.548008071320075</v>
      </c>
      <c r="C100" s="42">
        <v>29.72</v>
      </c>
      <c r="D100" s="42">
        <f t="shared" si="42"/>
        <v>3.4320679987963261</v>
      </c>
      <c r="E100" s="137">
        <f>3669213/(5011324)*60</f>
        <v>43.931060933198495</v>
      </c>
      <c r="F100" s="40">
        <v>289.77999999999997</v>
      </c>
      <c r="G100" s="49">
        <f t="shared" si="47"/>
        <v>6.365171418611129</v>
      </c>
      <c r="H100" s="137">
        <f>(262266/5011324)*60</f>
        <v>3.1400803460323061</v>
      </c>
      <c r="I100" s="53">
        <v>120</v>
      </c>
      <c r="J100" s="53">
        <f t="shared" si="43"/>
        <v>0.18840482076193837</v>
      </c>
      <c r="K100" s="40">
        <f t="shared" si="44"/>
        <v>9.9856442381693942</v>
      </c>
      <c r="L100" s="40">
        <f t="shared" si="45"/>
        <v>0.34370020771193682</v>
      </c>
      <c r="M100" s="42">
        <f t="shared" si="46"/>
        <v>0.65629979228806312</v>
      </c>
      <c r="N100" s="42">
        <v>8.9</v>
      </c>
      <c r="O100" s="50">
        <f t="shared" si="40"/>
        <v>1.0856442381693938</v>
      </c>
    </row>
    <row r="101" spans="1:15">
      <c r="A101" t="s">
        <v>190</v>
      </c>
      <c r="B101" s="137">
        <f>1864887/(4814044*2/60)</f>
        <v>11.621541057788422</v>
      </c>
      <c r="C101" s="42">
        <v>28.89</v>
      </c>
      <c r="D101" s="42">
        <f t="shared" si="42"/>
        <v>3.3574632115950749</v>
      </c>
      <c r="E101" s="137">
        <f>3539791/(4814044)*60</f>
        <v>44.118304693517544</v>
      </c>
      <c r="F101" s="40">
        <v>279.56</v>
      </c>
      <c r="G101" s="49">
        <f t="shared" si="47"/>
        <v>6.1668566300598826</v>
      </c>
      <c r="H101" s="137">
        <f>(256884/4814044)*60</f>
        <v>3.2016824108795019</v>
      </c>
      <c r="I101" s="53">
        <v>108.13</v>
      </c>
      <c r="J101" s="53">
        <f t="shared" si="43"/>
        <v>0.17309895954420026</v>
      </c>
      <c r="K101" s="40">
        <f t="shared" si="44"/>
        <v>9.6974188011991576</v>
      </c>
      <c r="L101" s="40">
        <f t="shared" si="45"/>
        <v>0.3462223587971574</v>
      </c>
      <c r="M101" s="42">
        <f t="shared" si="46"/>
        <v>0.65377764120284254</v>
      </c>
      <c r="N101" s="42">
        <v>8.81</v>
      </c>
      <c r="O101" s="50">
        <f t="shared" si="40"/>
        <v>0.88741880119915706</v>
      </c>
    </row>
    <row r="102" spans="1:15">
      <c r="A102" t="s">
        <v>191</v>
      </c>
      <c r="B102" s="137">
        <f>1795866/(4638663*2/60)</f>
        <v>11.614549278531335</v>
      </c>
      <c r="C102" s="42">
        <v>29.79</v>
      </c>
      <c r="D102" s="42">
        <f t="shared" si="42"/>
        <v>3.4599742300744847</v>
      </c>
      <c r="E102" s="137">
        <f>3425236/(4638663)*60</f>
        <v>44.304611048485306</v>
      </c>
      <c r="F102" s="40">
        <v>273.61</v>
      </c>
      <c r="G102" s="49">
        <f t="shared" si="47"/>
        <v>6.0610923144880324</v>
      </c>
      <c r="H102" s="137">
        <f>(241078/4638663)*60</f>
        <v>3.1182864545236417</v>
      </c>
      <c r="I102" s="53">
        <v>109.15</v>
      </c>
      <c r="J102" s="53">
        <f t="shared" si="43"/>
        <v>0.17018048325562776</v>
      </c>
      <c r="K102" s="40">
        <f t="shared" si="44"/>
        <v>9.6912470278181448</v>
      </c>
      <c r="L102" s="40">
        <f t="shared" si="45"/>
        <v>0.35702053823856061</v>
      </c>
      <c r="M102" s="42">
        <f t="shared" si="46"/>
        <v>0.64297946176143939</v>
      </c>
      <c r="N102" s="42">
        <v>8.82</v>
      </c>
      <c r="O102" s="50">
        <f t="shared" si="40"/>
        <v>0.87124702781814456</v>
      </c>
    </row>
    <row r="103" spans="1:15">
      <c r="A103" t="s">
        <v>192</v>
      </c>
      <c r="B103" s="137">
        <f>1943537/(4991626*2/60)</f>
        <v>11.680784978682297</v>
      </c>
      <c r="C103" s="42">
        <v>30.86</v>
      </c>
      <c r="D103" s="42">
        <f t="shared" si="42"/>
        <v>3.6046902444213567</v>
      </c>
      <c r="E103" s="137">
        <f>3677248/(4991626)*60</f>
        <v>44.201003841233302</v>
      </c>
      <c r="F103" s="40">
        <v>276.22000000000003</v>
      </c>
      <c r="G103" s="49">
        <f t="shared" si="47"/>
        <v>6.1046006405127322</v>
      </c>
      <c r="H103" s="137">
        <f>(260298/4991626)*60</f>
        <v>3.1288161412734046</v>
      </c>
      <c r="I103" s="53">
        <v>104.2</v>
      </c>
      <c r="J103" s="53">
        <f t="shared" si="43"/>
        <v>0.1630113209603444</v>
      </c>
      <c r="K103" s="40">
        <f t="shared" si="44"/>
        <v>9.8723022058944316</v>
      </c>
      <c r="L103" s="40">
        <f t="shared" si="45"/>
        <v>0.36513167539270758</v>
      </c>
      <c r="M103" s="42">
        <f t="shared" si="46"/>
        <v>0.63486832460729259</v>
      </c>
      <c r="N103" s="42">
        <v>8.9600000000000009</v>
      </c>
      <c r="O103" s="50">
        <f t="shared" si="40"/>
        <v>0.91230220589443078</v>
      </c>
    </row>
    <row r="104" spans="1:15">
      <c r="A104" t="s">
        <v>193</v>
      </c>
      <c r="B104" s="137">
        <f>1840263/(4745090*2/60)</f>
        <v>11.63474033158486</v>
      </c>
      <c r="C104" s="42">
        <v>32.450000000000003</v>
      </c>
      <c r="D104" s="42">
        <f t="shared" si="42"/>
        <v>3.7754732375992877</v>
      </c>
      <c r="E104" s="137">
        <f>3502911/(4745090)*60</f>
        <v>44.293081901502397</v>
      </c>
      <c r="F104" s="40">
        <v>303.81</v>
      </c>
      <c r="G104" s="49">
        <f t="shared" si="47"/>
        <v>6.7283406062477216</v>
      </c>
      <c r="H104" s="137">
        <f>(243761/4745090)*60</f>
        <v>3.0822724121144169</v>
      </c>
      <c r="I104" s="53">
        <v>88.21</v>
      </c>
      <c r="J104" s="53">
        <f t="shared" si="43"/>
        <v>0.13594362473630636</v>
      </c>
      <c r="K104" s="40">
        <f t="shared" si="44"/>
        <v>10.639757468583316</v>
      </c>
      <c r="L104" s="40">
        <f t="shared" si="45"/>
        <v>0.35484579876443295</v>
      </c>
      <c r="M104" s="42">
        <f t="shared" si="46"/>
        <v>0.6451542012355671</v>
      </c>
      <c r="N104" s="42">
        <v>9.61</v>
      </c>
      <c r="O104" s="50">
        <f t="shared" si="40"/>
        <v>1.0297574685833162</v>
      </c>
    </row>
    <row r="105" spans="1:15">
      <c r="A105" t="s">
        <v>196</v>
      </c>
      <c r="B105" s="137">
        <f>1876184/(4825833*2/60)</f>
        <v>11.663379151329936</v>
      </c>
      <c r="C105" s="42">
        <v>30.76</v>
      </c>
      <c r="D105" s="42">
        <f t="shared" si="42"/>
        <v>3.5876554269490883</v>
      </c>
      <c r="E105" s="137">
        <f>3561181/(4825833)*60</f>
        <v>44.276472061921744</v>
      </c>
      <c r="F105" s="40">
        <v>376.35</v>
      </c>
      <c r="G105" s="49">
        <f t="shared" si="47"/>
        <v>8.331725130252126</v>
      </c>
      <c r="H105" s="137">
        <f>(246358/4825833)*60</f>
        <v>3.0629903687094018</v>
      </c>
      <c r="I105" s="53">
        <v>89.76</v>
      </c>
      <c r="J105" s="53">
        <f t="shared" si="43"/>
        <v>0.13746700774767798</v>
      </c>
      <c r="K105" s="40">
        <f t="shared" si="44"/>
        <v>12.056847564948892</v>
      </c>
      <c r="L105" s="40">
        <f t="shared" si="45"/>
        <v>0.29756164765481102</v>
      </c>
      <c r="M105" s="42">
        <f t="shared" si="46"/>
        <v>0.70243835234518892</v>
      </c>
      <c r="N105" s="42">
        <v>10.49</v>
      </c>
      <c r="O105" s="50">
        <f t="shared" si="40"/>
        <v>1.5668475649488922</v>
      </c>
    </row>
    <row r="106" spans="1:15">
      <c r="A106" t="s">
        <v>194</v>
      </c>
      <c r="B106" s="137">
        <f>1787234/(4623752*2/60)</f>
        <v>11.595998228278678</v>
      </c>
      <c r="C106" s="42">
        <v>30.35</v>
      </c>
      <c r="D106" s="42">
        <f t="shared" si="42"/>
        <v>3.5193854622825791</v>
      </c>
      <c r="E106" s="137">
        <f>3411099/(4623752)*60</f>
        <v>44.264039247779728</v>
      </c>
      <c r="F106" s="40">
        <v>408.57</v>
      </c>
      <c r="G106" s="49">
        <f t="shared" si="47"/>
        <v>9.0424792577326816</v>
      </c>
      <c r="H106" s="137">
        <f>(235294/4623752)*60</f>
        <v>3.053286594955785</v>
      </c>
      <c r="I106" s="53">
        <v>93.07</v>
      </c>
      <c r="J106" s="53">
        <f t="shared" si="43"/>
        <v>0.14208469169626745</v>
      </c>
      <c r="K106" s="40">
        <f t="shared" si="44"/>
        <v>12.703949411711529</v>
      </c>
      <c r="L106" s="40">
        <f t="shared" si="45"/>
        <v>0.27703081523908812</v>
      </c>
      <c r="M106" s="42">
        <f t="shared" si="46"/>
        <v>0.72296918476091176</v>
      </c>
      <c r="N106" s="42">
        <v>11.4</v>
      </c>
      <c r="O106" s="50">
        <f t="shared" si="40"/>
        <v>1.3039494117115282</v>
      </c>
    </row>
    <row r="107" spans="1:15">
      <c r="A107" t="s">
        <v>195</v>
      </c>
      <c r="B107" s="137">
        <f>1789356/(4603543*2/60)</f>
        <v>11.660731745092857</v>
      </c>
      <c r="C107" s="42">
        <v>28.75</v>
      </c>
      <c r="D107" s="42">
        <f t="shared" si="42"/>
        <v>3.3524603767141965</v>
      </c>
      <c r="E107" s="137">
        <f>3403386/(4603543)*60</f>
        <v>44.357826135218026</v>
      </c>
      <c r="F107" s="40">
        <v>371.49</v>
      </c>
      <c r="G107" s="49">
        <f t="shared" si="47"/>
        <v>8.2392444154860733</v>
      </c>
      <c r="H107" s="137">
        <f>(240805/4603543)*60</f>
        <v>3.1385174418920383</v>
      </c>
      <c r="I107" s="53">
        <v>93.5</v>
      </c>
      <c r="J107" s="53">
        <f t="shared" si="43"/>
        <v>0.14672569040845279</v>
      </c>
      <c r="K107" s="40">
        <f t="shared" si="44"/>
        <v>11.738430482608722</v>
      </c>
      <c r="L107" s="40">
        <f t="shared" si="45"/>
        <v>0.28559698689540253</v>
      </c>
      <c r="M107" s="42">
        <f t="shared" si="46"/>
        <v>0.71440301310459753</v>
      </c>
      <c r="N107" s="42">
        <v>10.59</v>
      </c>
      <c r="O107" s="50">
        <f t="shared" si="40"/>
        <v>1.1484304826087222</v>
      </c>
    </row>
    <row r="108" spans="1:15">
      <c r="A108" t="s">
        <v>205</v>
      </c>
      <c r="B108" s="137">
        <f>1642478/(4218789*2/60)</f>
        <v>11.679735582888835</v>
      </c>
      <c r="C108" s="42">
        <v>31.21</v>
      </c>
      <c r="D108" s="42">
        <f>(B108*C108)/100</f>
        <v>3.6452454754196055</v>
      </c>
      <c r="E108" s="137">
        <f>3111301/(4218789)*60</f>
        <v>44.24920516290338</v>
      </c>
      <c r="F108" s="40">
        <v>340.8</v>
      </c>
      <c r="G108" s="49">
        <f>E108*F108/2000</f>
        <v>7.5400645597587364</v>
      </c>
      <c r="H108" s="137">
        <f>(217058/4218789)*60</f>
        <v>3.0870185733394107</v>
      </c>
      <c r="I108" s="53">
        <v>106.52</v>
      </c>
      <c r="J108" s="53">
        <f t="shared" si="43"/>
        <v>0.16441460921605702</v>
      </c>
      <c r="K108" s="40">
        <f t="shared" si="44"/>
        <v>11.349724644394399</v>
      </c>
      <c r="L108" s="40">
        <f t="shared" si="45"/>
        <v>0.32117479407044319</v>
      </c>
      <c r="M108" s="42">
        <f t="shared" si="46"/>
        <v>0.67882520592955675</v>
      </c>
      <c r="N108" s="42">
        <v>10.24</v>
      </c>
      <c r="O108" s="50">
        <f t="shared" si="40"/>
        <v>1.1097246443943991</v>
      </c>
    </row>
    <row r="109" spans="1:15">
      <c r="A109" s="38" t="s">
        <v>226</v>
      </c>
      <c r="B109" s="137">
        <f>(21864904)/(56587104*2/60)</f>
        <v>11.591812862520761</v>
      </c>
      <c r="C109" s="40">
        <f>AVERAGE(C97:C108)</f>
        <v>29.397499999999997</v>
      </c>
      <c r="D109" s="42">
        <f>(B109*C109)/100</f>
        <v>3.4077031862595408</v>
      </c>
      <c r="E109" s="137">
        <f>41673687/(56587104)*60</f>
        <v>44.187121150430315</v>
      </c>
      <c r="F109" s="40">
        <f>AVERAGE(F97:F108)</f>
        <v>324.19833333333332</v>
      </c>
      <c r="G109" s="49">
        <f>E109*F109/2000</f>
        <v>7.1626955158837955</v>
      </c>
      <c r="H109" s="137">
        <f>2915670/(56587104)*60</f>
        <v>3.0915206404625337</v>
      </c>
      <c r="I109" s="53">
        <f>AVERAGE(I97:I108)</f>
        <v>113.01833333333333</v>
      </c>
      <c r="J109" s="53">
        <f t="shared" si="43"/>
        <v>0.1746992551253374</v>
      </c>
      <c r="K109" s="40">
        <f t="shared" si="44"/>
        <v>10.745097957268674</v>
      </c>
      <c r="L109" s="40">
        <f t="shared" si="45"/>
        <v>0.31714026245375937</v>
      </c>
      <c r="M109" s="42">
        <f t="shared" si="46"/>
        <v>0.68285973754624052</v>
      </c>
      <c r="N109" s="42">
        <f>AVERAGE(N97:N108)</f>
        <v>9.5408333333333335</v>
      </c>
      <c r="O109" s="50">
        <f t="shared" si="40"/>
        <v>1.2042646239353409</v>
      </c>
    </row>
    <row r="110" spans="1:15">
      <c r="A110" s="107" t="s">
        <v>498</v>
      </c>
      <c r="B110" s="230"/>
      <c r="C110" s="42"/>
      <c r="D110" s="42"/>
      <c r="E110" s="230"/>
      <c r="F110" s="42"/>
      <c r="G110" s="128"/>
      <c r="H110" s="230"/>
      <c r="I110" s="90"/>
      <c r="J110" s="90"/>
      <c r="K110" s="42"/>
      <c r="L110" s="42"/>
      <c r="M110" s="42"/>
      <c r="N110" s="90"/>
      <c r="O110" s="50"/>
    </row>
    <row r="111" spans="1:15">
      <c r="A111" t="s">
        <v>186</v>
      </c>
      <c r="B111" s="137">
        <f>(1616609)/(4148008*2/60)</f>
        <v>11.691942252763255</v>
      </c>
      <c r="C111" s="229">
        <v>31.99</v>
      </c>
      <c r="D111" s="42">
        <f t="shared" ref="D111:D121" si="48">(B111*C111)/100</f>
        <v>3.7402523266589651</v>
      </c>
      <c r="E111" s="245">
        <v>44.006400180520387</v>
      </c>
      <c r="F111" s="247">
        <v>337.95</v>
      </c>
      <c r="G111" s="49">
        <f>E111*F111/2000</f>
        <v>7.4359814705034326</v>
      </c>
      <c r="H111" s="245">
        <v>3.1119949624012295</v>
      </c>
      <c r="I111" s="248">
        <v>106.43</v>
      </c>
      <c r="J111" s="53">
        <f t="shared" ref="J111:J123" si="49">H111*I111/2000</f>
        <v>0.16560481192418144</v>
      </c>
      <c r="K111" s="40">
        <f t="shared" ref="K111:K123" si="50">D111+G111+J111</f>
        <v>11.341838609086579</v>
      </c>
      <c r="L111" s="40">
        <f t="shared" ref="L111:L123" si="51">D111/K111</f>
        <v>0.32977477951964862</v>
      </c>
      <c r="M111" s="42">
        <f t="shared" ref="M111:M123" si="52">(+G111+J111)/K111</f>
        <v>0.67022522048035127</v>
      </c>
      <c r="N111" s="229">
        <v>9.76</v>
      </c>
      <c r="O111" s="50">
        <f t="shared" ref="O111:O123" si="53">K111-N111</f>
        <v>1.5818386090865797</v>
      </c>
    </row>
    <row r="112" spans="1:15">
      <c r="A112" t="s">
        <v>187</v>
      </c>
      <c r="B112" s="137">
        <f>(2028518)/(5276415*2/60)</f>
        <v>11.533501439898112</v>
      </c>
      <c r="C112" s="229">
        <v>33.86</v>
      </c>
      <c r="D112" s="42">
        <f t="shared" si="48"/>
        <v>3.9052435875495006</v>
      </c>
      <c r="E112" s="245">
        <v>43.553719713100655</v>
      </c>
      <c r="F112" s="247">
        <v>323.27</v>
      </c>
      <c r="G112" s="49">
        <f t="shared" ref="G112:G121" si="54">E112*F112/2000</f>
        <v>7.0398054858270243</v>
      </c>
      <c r="H112" s="245">
        <v>3.1148080657037025</v>
      </c>
      <c r="I112" s="248">
        <v>109.88</v>
      </c>
      <c r="J112" s="53">
        <f t="shared" si="49"/>
        <v>0.17112755512976141</v>
      </c>
      <c r="K112" s="40">
        <f t="shared" si="50"/>
        <v>11.116176628506286</v>
      </c>
      <c r="L112" s="40">
        <f t="shared" si="51"/>
        <v>0.35131176105414763</v>
      </c>
      <c r="M112" s="42">
        <f t="shared" si="52"/>
        <v>0.64868823894585237</v>
      </c>
      <c r="N112" s="229">
        <v>9.56</v>
      </c>
      <c r="O112" s="50">
        <f t="shared" si="53"/>
        <v>1.5561766285062859</v>
      </c>
    </row>
    <row r="113" spans="1:15">
      <c r="A113" t="s">
        <v>188</v>
      </c>
      <c r="B113" s="137">
        <f>(1961256)/(5122038*2/60)</f>
        <v>11.487161946084742</v>
      </c>
      <c r="C113" s="229">
        <v>34.520000000000003</v>
      </c>
      <c r="D113" s="42">
        <f t="shared" si="48"/>
        <v>3.9653683037884533</v>
      </c>
      <c r="E113" s="245">
        <v>43.800061616098901</v>
      </c>
      <c r="F113" s="247">
        <v>322.41000000000003</v>
      </c>
      <c r="G113" s="49">
        <f t="shared" si="54"/>
        <v>7.0607889328232236</v>
      </c>
      <c r="H113" s="245">
        <v>3.2027954497799507</v>
      </c>
      <c r="I113" s="248">
        <v>105.26</v>
      </c>
      <c r="J113" s="53">
        <f t="shared" si="49"/>
        <v>0.16856312452191882</v>
      </c>
      <c r="K113" s="40">
        <f t="shared" si="50"/>
        <v>11.194720361133596</v>
      </c>
      <c r="L113" s="40">
        <f>D113/K113</f>
        <v>0.35421771834119431</v>
      </c>
      <c r="M113" s="42">
        <f>(+G113+J113)/K113</f>
        <v>0.64578228165880569</v>
      </c>
      <c r="N113" s="229">
        <v>9.94</v>
      </c>
      <c r="O113" s="50">
        <f t="shared" si="53"/>
        <v>1.2547203611335966</v>
      </c>
    </row>
    <row r="114" spans="1:15">
      <c r="A114" t="s">
        <v>189</v>
      </c>
      <c r="B114" s="137">
        <f>(1950176)/(5071493*2/60)</f>
        <v>11.536105837077958</v>
      </c>
      <c r="C114" s="229">
        <v>35.57</v>
      </c>
      <c r="D114" s="42">
        <f t="shared" si="48"/>
        <v>4.1033928462486298</v>
      </c>
      <c r="E114" s="245">
        <v>43.663686413448659</v>
      </c>
      <c r="F114" s="247">
        <v>321.02</v>
      </c>
      <c r="G114" s="49">
        <f t="shared" si="54"/>
        <v>7.0084583062226438</v>
      </c>
      <c r="H114" s="245">
        <v>3.2354850928513557</v>
      </c>
      <c r="I114" s="248">
        <v>113.45</v>
      </c>
      <c r="J114" s="53">
        <f t="shared" si="49"/>
        <v>0.18353289189199315</v>
      </c>
      <c r="K114" s="40">
        <f t="shared" si="50"/>
        <v>11.295384044363267</v>
      </c>
      <c r="L114" s="40">
        <f t="shared" si="51"/>
        <v>0.36328050734108019</v>
      </c>
      <c r="M114" s="42">
        <f t="shared" si="52"/>
        <v>0.63671949265891969</v>
      </c>
      <c r="N114" s="229">
        <v>10.16</v>
      </c>
      <c r="O114" s="50">
        <f t="shared" si="53"/>
        <v>1.135384044363267</v>
      </c>
    </row>
    <row r="115" spans="1:15">
      <c r="A115" t="s">
        <v>190</v>
      </c>
      <c r="B115" s="137">
        <f>(1982893)/(5139706*2/60)</f>
        <v>11.573967460395595</v>
      </c>
      <c r="C115" s="229">
        <v>33.58</v>
      </c>
      <c r="D115" s="42">
        <f t="shared" si="48"/>
        <v>3.8865382732008409</v>
      </c>
      <c r="E115" s="245">
        <v>43.933777812124575</v>
      </c>
      <c r="F115" s="247">
        <v>332.34</v>
      </c>
      <c r="G115" s="49">
        <f t="shared" si="54"/>
        <v>7.3004758590407404</v>
      </c>
      <c r="H115" s="245">
        <v>3.05264193228841</v>
      </c>
      <c r="I115" s="248">
        <v>159.25</v>
      </c>
      <c r="J115" s="53">
        <f t="shared" si="49"/>
        <v>0.24306661385846465</v>
      </c>
      <c r="K115" s="40">
        <f t="shared" si="50"/>
        <v>11.430080746100046</v>
      </c>
      <c r="L115" s="40">
        <f t="shared" si="51"/>
        <v>0.34002719311733043</v>
      </c>
      <c r="M115" s="42">
        <f t="shared" si="52"/>
        <v>0.65997280688266946</v>
      </c>
      <c r="N115" s="229">
        <v>10.26</v>
      </c>
      <c r="O115" s="50">
        <f t="shared" si="53"/>
        <v>1.1700807461000462</v>
      </c>
    </row>
    <row r="116" spans="1:15">
      <c r="A116" t="s">
        <v>191</v>
      </c>
      <c r="B116" s="137">
        <f>(1757030)/(4542336*2/60)</f>
        <v>11.60435951897878</v>
      </c>
      <c r="C116" s="229">
        <v>32</v>
      </c>
      <c r="D116" s="42">
        <f t="shared" si="48"/>
        <v>3.7133950460732099</v>
      </c>
      <c r="E116" s="245">
        <v>43.999622082396634</v>
      </c>
      <c r="F116" s="247">
        <v>334.42</v>
      </c>
      <c r="G116" s="49">
        <f t="shared" si="54"/>
        <v>7.3571768083975408</v>
      </c>
      <c r="H116" s="245">
        <v>3.011292495863215</v>
      </c>
      <c r="I116" s="248">
        <v>142.5</v>
      </c>
      <c r="J116" s="53">
        <f t="shared" si="49"/>
        <v>0.21455459033025406</v>
      </c>
      <c r="K116" s="40">
        <f t="shared" si="50"/>
        <v>11.285126444801005</v>
      </c>
      <c r="L116" s="40">
        <f t="shared" si="51"/>
        <v>0.32905214347721823</v>
      </c>
      <c r="M116" s="42">
        <f t="shared" si="52"/>
        <v>0.67094785652278177</v>
      </c>
      <c r="N116" s="229">
        <v>10.26</v>
      </c>
      <c r="O116" s="50">
        <f t="shared" si="53"/>
        <v>1.0251264448010051</v>
      </c>
    </row>
    <row r="117" spans="1:15">
      <c r="A117" t="s">
        <v>192</v>
      </c>
      <c r="B117" s="137">
        <f>(1865466)/(4822961*2/60)</f>
        <v>11.603655928380926</v>
      </c>
      <c r="C117" s="229">
        <v>30.86</v>
      </c>
      <c r="D117" s="42">
        <f t="shared" si="48"/>
        <v>3.5808882194983536</v>
      </c>
      <c r="E117" s="245">
        <v>43.898686930891586</v>
      </c>
      <c r="F117" s="247">
        <v>320.33999999999997</v>
      </c>
      <c r="G117" s="49">
        <f t="shared" si="54"/>
        <v>7.0312526857209052</v>
      </c>
      <c r="H117" s="245">
        <v>3.0425295392633247</v>
      </c>
      <c r="I117" s="248">
        <v>113.37</v>
      </c>
      <c r="J117" s="53">
        <f t="shared" si="49"/>
        <v>0.17246578693314157</v>
      </c>
      <c r="K117" s="40">
        <f t="shared" si="50"/>
        <v>10.784606692152401</v>
      </c>
      <c r="L117" s="40">
        <f t="shared" si="51"/>
        <v>0.33203697841888352</v>
      </c>
      <c r="M117" s="42">
        <f t="shared" si="52"/>
        <v>0.66796302158111642</v>
      </c>
      <c r="N117" s="229">
        <v>9.86</v>
      </c>
      <c r="O117" s="50">
        <f t="shared" si="53"/>
        <v>0.92460669215240188</v>
      </c>
    </row>
    <row r="118" spans="1:15">
      <c r="A118" t="s">
        <v>193</v>
      </c>
      <c r="B118" s="137">
        <f>(1737775)/(4509463*2/60)</f>
        <v>11.560855472148237</v>
      </c>
      <c r="C118" s="229">
        <v>29.57</v>
      </c>
      <c r="D118" s="42">
        <f t="shared" si="48"/>
        <v>3.4185449631142335</v>
      </c>
      <c r="E118" s="245">
        <v>43.917273141258683</v>
      </c>
      <c r="F118" s="247">
        <v>305.67</v>
      </c>
      <c r="G118" s="49">
        <f t="shared" si="54"/>
        <v>6.7120964405442711</v>
      </c>
      <c r="H118" s="245">
        <v>2.9599996082713504</v>
      </c>
      <c r="I118" s="248">
        <v>107.89</v>
      </c>
      <c r="J118" s="53">
        <f t="shared" si="49"/>
        <v>0.15967717886819802</v>
      </c>
      <c r="K118" s="40">
        <f t="shared" si="50"/>
        <v>10.290318582526703</v>
      </c>
      <c r="L118" s="40">
        <f t="shared" si="51"/>
        <v>0.33220982768395863</v>
      </c>
      <c r="M118" s="42">
        <f t="shared" si="52"/>
        <v>0.66779017231604132</v>
      </c>
      <c r="N118" s="229">
        <v>9.3699999999999992</v>
      </c>
      <c r="O118" s="50">
        <f t="shared" si="53"/>
        <v>0.92031858252670418</v>
      </c>
    </row>
    <row r="119" spans="1:15">
      <c r="A119" t="s">
        <v>196</v>
      </c>
      <c r="B119" s="137">
        <f>(1839342)/(4739387*2/60)</f>
        <v>11.642910781499801</v>
      </c>
      <c r="C119" s="229">
        <v>30.6</v>
      </c>
      <c r="D119" s="42">
        <f t="shared" si="48"/>
        <v>3.5627306991389389</v>
      </c>
      <c r="E119" s="245">
        <v>44.200503821899851</v>
      </c>
      <c r="F119" s="247">
        <v>307.63</v>
      </c>
      <c r="G119" s="49">
        <f t="shared" si="54"/>
        <v>6.7987004953655248</v>
      </c>
      <c r="H119" s="245">
        <v>3.0431249674143457</v>
      </c>
      <c r="I119" s="248">
        <v>107</v>
      </c>
      <c r="J119" s="53">
        <f t="shared" si="49"/>
        <v>0.1628071857566675</v>
      </c>
      <c r="K119" s="40">
        <f t="shared" si="50"/>
        <v>10.524238380261131</v>
      </c>
      <c r="L119" s="40">
        <f t="shared" si="51"/>
        <v>0.33852622588073106</v>
      </c>
      <c r="M119" s="42">
        <f t="shared" si="52"/>
        <v>0.661473774119269</v>
      </c>
      <c r="N119" s="229">
        <v>9.49</v>
      </c>
      <c r="O119" s="50">
        <f t="shared" si="53"/>
        <v>1.0342383802611312</v>
      </c>
    </row>
    <row r="120" spans="1:15">
      <c r="A120" t="s">
        <v>194</v>
      </c>
      <c r="B120" s="137">
        <f>(1735608)/(4446863*2/60)</f>
        <v>11.708982264576175</v>
      </c>
      <c r="C120" s="229">
        <v>30.74</v>
      </c>
      <c r="D120" s="42">
        <f t="shared" si="48"/>
        <v>3.5993411481307156</v>
      </c>
      <c r="E120" s="245">
        <v>44.099361729830669</v>
      </c>
      <c r="F120" s="247">
        <v>300.72000000000003</v>
      </c>
      <c r="G120" s="49">
        <f t="shared" si="54"/>
        <v>6.6307800296973403</v>
      </c>
      <c r="H120" s="245">
        <v>2.9836313823924865</v>
      </c>
      <c r="I120" s="248">
        <v>103.25</v>
      </c>
      <c r="J120" s="53">
        <f t="shared" si="49"/>
        <v>0.15402997011601213</v>
      </c>
      <c r="K120" s="40">
        <f t="shared" si="50"/>
        <v>10.384151147944069</v>
      </c>
      <c r="L120" s="40">
        <f t="shared" si="51"/>
        <v>0.34661871700927038</v>
      </c>
      <c r="M120" s="42">
        <f t="shared" si="52"/>
        <v>0.65338128299072951</v>
      </c>
      <c r="N120" s="229">
        <v>9.23</v>
      </c>
      <c r="O120" s="50">
        <f t="shared" si="53"/>
        <v>1.1541511479440683</v>
      </c>
    </row>
    <row r="121" spans="1:15">
      <c r="A121" t="s">
        <v>195</v>
      </c>
      <c r="B121" s="137">
        <f>(1801376)/(4668680*2/60)</f>
        <v>11.575280379036474</v>
      </c>
      <c r="C121" s="229">
        <v>32.82</v>
      </c>
      <c r="D121" s="42">
        <f t="shared" si="48"/>
        <v>3.7990070203997708</v>
      </c>
      <c r="E121" s="245">
        <v>43.703813497605324</v>
      </c>
      <c r="F121" s="247">
        <v>326.04000000000002</v>
      </c>
      <c r="G121" s="49">
        <f t="shared" si="54"/>
        <v>7.1245956763796201</v>
      </c>
      <c r="H121" s="245">
        <v>3.0513806900451521</v>
      </c>
      <c r="I121" s="248">
        <v>107.4</v>
      </c>
      <c r="J121" s="53">
        <f t="shared" si="49"/>
        <v>0.16385914305542468</v>
      </c>
      <c r="K121" s="40">
        <f t="shared" si="50"/>
        <v>11.087461839834814</v>
      </c>
      <c r="L121" s="40">
        <f t="shared" si="51"/>
        <v>0.34263991843027347</v>
      </c>
      <c r="M121" s="42">
        <f t="shared" si="52"/>
        <v>0.65736008156972658</v>
      </c>
      <c r="N121" s="229">
        <v>9.91</v>
      </c>
      <c r="O121" s="50">
        <f t="shared" si="53"/>
        <v>1.1774618398348142</v>
      </c>
    </row>
    <row r="122" spans="1:15">
      <c r="A122" t="s">
        <v>205</v>
      </c>
      <c r="B122" s="137">
        <f>(1762207)/(4548592*2/60)</f>
        <v>11.622543855329297</v>
      </c>
      <c r="C122" s="229">
        <v>33.17</v>
      </c>
      <c r="D122" s="42">
        <f>(B122*C122)/100</f>
        <v>3.8551977968127282</v>
      </c>
      <c r="E122" s="245">
        <v>43.78262548058828</v>
      </c>
      <c r="F122" s="247">
        <v>301.05</v>
      </c>
      <c r="G122" s="49">
        <f>E122*F122/2000</f>
        <v>6.5903797004655509</v>
      </c>
      <c r="H122" s="245">
        <v>3.1305159926412394</v>
      </c>
      <c r="I122" s="248">
        <v>111.5</v>
      </c>
      <c r="J122" s="53">
        <f t="shared" si="49"/>
        <v>0.1745262665897491</v>
      </c>
      <c r="K122" s="40">
        <f t="shared" si="50"/>
        <v>10.620103763868029</v>
      </c>
      <c r="L122" s="40">
        <f t="shared" si="51"/>
        <v>0.36300942839456751</v>
      </c>
      <c r="M122" s="42">
        <f t="shared" si="52"/>
        <v>0.63699057160543238</v>
      </c>
      <c r="N122" s="229">
        <v>9.39</v>
      </c>
      <c r="O122" s="50">
        <f t="shared" si="53"/>
        <v>1.2301037638680281</v>
      </c>
    </row>
    <row r="123" spans="1:15">
      <c r="A123" s="38" t="s">
        <v>226</v>
      </c>
      <c r="B123" s="245">
        <f>(22038256)/(57035942*2/60)</f>
        <v>11.591772780749373</v>
      </c>
      <c r="C123" s="40">
        <f>AVERAGE(C111:C122)</f>
        <v>32.440000000000005</v>
      </c>
      <c r="D123" s="42">
        <f>(B123*C123)/100</f>
        <v>3.7603710900750973</v>
      </c>
      <c r="E123" s="230">
        <v>43.872854997955756</v>
      </c>
      <c r="F123" s="40">
        <f>AVERAGE(F111:F122)</f>
        <v>319.40500000000003</v>
      </c>
      <c r="G123" s="128">
        <f>E123*F123/2000</f>
        <v>7.0066046253110299</v>
      </c>
      <c r="H123" s="332">
        <v>3.0810020981893329</v>
      </c>
      <c r="I123" s="333">
        <v>115.59833333333334</v>
      </c>
      <c r="J123" s="90">
        <f t="shared" si="49"/>
        <v>0.17807935377359496</v>
      </c>
      <c r="K123" s="42">
        <f t="shared" si="50"/>
        <v>10.945055069159723</v>
      </c>
      <c r="L123" s="42">
        <f t="shared" si="51"/>
        <v>0.34356803746660269</v>
      </c>
      <c r="M123" s="42">
        <f t="shared" si="52"/>
        <v>0.6564319625333972</v>
      </c>
      <c r="N123" s="229">
        <v>9.7658333333333331</v>
      </c>
      <c r="O123" s="50">
        <f t="shared" si="53"/>
        <v>1.1792217358263901</v>
      </c>
    </row>
    <row r="124" spans="1:15">
      <c r="A124" s="107" t="s">
        <v>569</v>
      </c>
      <c r="B124" s="332"/>
      <c r="C124" s="229"/>
      <c r="D124" s="42"/>
      <c r="E124" s="230"/>
      <c r="F124" s="42"/>
      <c r="G124" s="128"/>
      <c r="H124" s="332"/>
      <c r="I124" s="333"/>
      <c r="J124" s="90"/>
      <c r="K124" s="42"/>
      <c r="L124" s="42"/>
      <c r="M124" s="42"/>
      <c r="N124" s="229"/>
      <c r="O124" s="50"/>
    </row>
    <row r="125" spans="1:15">
      <c r="A125" t="s">
        <v>186</v>
      </c>
      <c r="B125" s="137">
        <f>(1701762)/(4361207*2/60)</f>
        <v>11.706130894497784</v>
      </c>
      <c r="C125" s="229">
        <v>33.28</v>
      </c>
      <c r="D125" s="53">
        <f>(B125*C125)/100</f>
        <v>3.8958003616888628</v>
      </c>
      <c r="E125" s="230">
        <f>3188771/(4361207)*60</f>
        <v>43.870024972444554</v>
      </c>
      <c r="F125" s="42">
        <v>307.7</v>
      </c>
      <c r="G125" s="128">
        <f t="shared" ref="G125:G135" si="55">E125*F125/2000</f>
        <v>6.7494033420105941</v>
      </c>
      <c r="H125" s="78">
        <f>(219873/4361207)*60</f>
        <v>3.0249378211123661</v>
      </c>
      <c r="I125" s="53">
        <v>114.2</v>
      </c>
      <c r="J125" s="53">
        <f t="shared" ref="J125:J137" si="56">H125*I125/2000</f>
        <v>0.1727239495855161</v>
      </c>
      <c r="K125" s="42">
        <f>D125+G125+J125</f>
        <v>10.817927653284972</v>
      </c>
      <c r="L125" s="42">
        <f>D125/K125</f>
        <v>0.36012446066838544</v>
      </c>
      <c r="M125" s="42">
        <f>(+G125+J125)/K125</f>
        <v>0.63987553933161467</v>
      </c>
      <c r="N125" s="229">
        <v>9.5</v>
      </c>
      <c r="O125" s="50">
        <f t="shared" ref="O125:O135" si="57">K125-N125</f>
        <v>1.317927653284972</v>
      </c>
    </row>
    <row r="126" spans="1:15">
      <c r="A126" t="s">
        <v>187</v>
      </c>
      <c r="B126" s="137">
        <f>(2016888)/(5277397*2/60)</f>
        <v>11.465243187124258</v>
      </c>
      <c r="C126" s="229">
        <v>32.35</v>
      </c>
      <c r="D126" s="53">
        <f t="shared" ref="D126:D135" si="58">(B126*C126)/100</f>
        <v>3.7090061710346975</v>
      </c>
      <c r="E126" s="230">
        <f>3847770/(5277397)*60</f>
        <v>43.74622564874312</v>
      </c>
      <c r="F126" s="42">
        <v>315.23</v>
      </c>
      <c r="G126" s="128">
        <f t="shared" si="55"/>
        <v>6.8950613556266473</v>
      </c>
      <c r="H126" s="78">
        <f>(276055/5277397)*60</f>
        <v>3.138535910790869</v>
      </c>
      <c r="I126" s="53">
        <v>117.02</v>
      </c>
      <c r="J126" s="53">
        <f t="shared" si="56"/>
        <v>0.18363573614037376</v>
      </c>
      <c r="K126" s="42">
        <f t="shared" ref="K126:K136" si="59">D126+G126+J126</f>
        <v>10.787703262801719</v>
      </c>
      <c r="L126" s="42">
        <f t="shared" ref="L126:L136" si="60">D126/K126</f>
        <v>0.34381796390563829</v>
      </c>
      <c r="M126" s="42">
        <f t="shared" ref="M126:M136" si="61">(+G126+J126)/K126</f>
        <v>0.65618203609436165</v>
      </c>
      <c r="N126" s="229">
        <v>9.4700000000000006</v>
      </c>
      <c r="O126" s="50">
        <f t="shared" si="57"/>
        <v>1.317703262801718</v>
      </c>
    </row>
    <row r="127" spans="1:15">
      <c r="A127" t="s">
        <v>188</v>
      </c>
      <c r="B127" s="137">
        <f>(1977005)/(5200462*2/60)</f>
        <v>11.40478480565765</v>
      </c>
      <c r="C127" s="229">
        <v>33.43</v>
      </c>
      <c r="D127" s="53">
        <f t="shared" si="58"/>
        <v>3.8126195605313522</v>
      </c>
      <c r="E127" s="230">
        <f>3829140/(5200462)*60</f>
        <v>44.178459529172599</v>
      </c>
      <c r="F127" s="42">
        <v>313.52</v>
      </c>
      <c r="G127" s="128">
        <f t="shared" si="55"/>
        <v>6.9254153157930958</v>
      </c>
      <c r="H127" s="78">
        <f>(272552/5200462)*60</f>
        <v>3.1445513879343796</v>
      </c>
      <c r="I127" s="53">
        <v>114.8</v>
      </c>
      <c r="J127" s="53">
        <f t="shared" si="56"/>
        <v>0.18049724966743338</v>
      </c>
      <c r="K127" s="42">
        <f t="shared" si="59"/>
        <v>10.918532125991883</v>
      </c>
      <c r="L127" s="42">
        <f t="shared" si="60"/>
        <v>0.34918792348060235</v>
      </c>
      <c r="M127" s="42">
        <f t="shared" si="61"/>
        <v>0.65081207651939754</v>
      </c>
      <c r="N127" s="229">
        <v>9.6999999999999993</v>
      </c>
      <c r="O127" s="50">
        <f t="shared" si="57"/>
        <v>1.2185321259918833</v>
      </c>
    </row>
    <row r="128" spans="1:15">
      <c r="A128" t="s">
        <v>189</v>
      </c>
      <c r="B128" s="137">
        <f>(2015256)/(5290215*2/60)</f>
        <v>11.42820849436176</v>
      </c>
      <c r="C128" s="229">
        <v>32.270000000000003</v>
      </c>
      <c r="D128" s="53">
        <f t="shared" si="58"/>
        <v>3.6878828811305402</v>
      </c>
      <c r="E128" s="230">
        <f>3904161/(5290215)*60</f>
        <v>44.279799592266102</v>
      </c>
      <c r="F128" s="42">
        <v>319.22000000000003</v>
      </c>
      <c r="G128" s="128">
        <f t="shared" si="55"/>
        <v>7.0674988129215937</v>
      </c>
      <c r="H128" s="78">
        <f>(268856/5290215)*60</f>
        <v>3.0492824960800271</v>
      </c>
      <c r="I128" s="53">
        <v>123.13</v>
      </c>
      <c r="J128" s="53">
        <f t="shared" si="56"/>
        <v>0.18772907687116686</v>
      </c>
      <c r="K128" s="42">
        <f t="shared" si="59"/>
        <v>10.943110770923299</v>
      </c>
      <c r="L128" s="42">
        <f t="shared" si="60"/>
        <v>0.33700498499289006</v>
      </c>
      <c r="M128" s="42">
        <f t="shared" si="61"/>
        <v>0.66299501500711011</v>
      </c>
      <c r="N128" s="229">
        <v>9.6</v>
      </c>
      <c r="O128" s="50">
        <f t="shared" si="57"/>
        <v>1.3431107709232997</v>
      </c>
    </row>
    <row r="129" spans="1:15">
      <c r="A129" t="s">
        <v>190</v>
      </c>
      <c r="B129" s="137">
        <f>(1995589)/(5239827*2/60)</f>
        <v>11.42550507869821</v>
      </c>
      <c r="C129" s="229">
        <v>31.61</v>
      </c>
      <c r="D129" s="53">
        <f t="shared" si="58"/>
        <v>3.6116021553765041</v>
      </c>
      <c r="E129" s="230">
        <f>3859849/(5239827)*60</f>
        <v>44.198203490306071</v>
      </c>
      <c r="F129" s="42">
        <v>322.58999999999997</v>
      </c>
      <c r="G129" s="128">
        <f t="shared" si="55"/>
        <v>7.1289492319689174</v>
      </c>
      <c r="H129" s="78">
        <f>(268466/5239827)*60</f>
        <v>3.0741396614811904</v>
      </c>
      <c r="I129" s="53">
        <v>131.21</v>
      </c>
      <c r="J129" s="53">
        <f t="shared" si="56"/>
        <v>0.20167893249147351</v>
      </c>
      <c r="K129" s="42">
        <f t="shared" si="59"/>
        <v>10.942230319836895</v>
      </c>
      <c r="L129" s="42">
        <f t="shared" si="60"/>
        <v>0.33006087879809304</v>
      </c>
      <c r="M129" s="42">
        <f t="shared" si="61"/>
        <v>0.66993912120190702</v>
      </c>
      <c r="N129" s="229">
        <v>9.6300000000000008</v>
      </c>
      <c r="O129" s="50">
        <f t="shared" si="57"/>
        <v>1.3122303198368943</v>
      </c>
    </row>
    <row r="130" spans="1:15">
      <c r="A130" t="s">
        <v>191</v>
      </c>
      <c r="B130" s="137">
        <f>(1889841)/(4948772*2/60)</f>
        <v>11.456423937089847</v>
      </c>
      <c r="C130" s="229">
        <v>30.63</v>
      </c>
      <c r="D130" s="53">
        <f t="shared" si="58"/>
        <v>3.5091026519306201</v>
      </c>
      <c r="E130" s="230">
        <f>3651786/(4948772)*60</f>
        <v>44.275056519071804</v>
      </c>
      <c r="F130" s="42">
        <v>362.85</v>
      </c>
      <c r="G130" s="128">
        <f t="shared" si="55"/>
        <v>8.0326021289726022</v>
      </c>
      <c r="H130" s="78">
        <f>(247786/4948772)*60</f>
        <v>3.0042119539958598</v>
      </c>
      <c r="I130" s="53">
        <v>143.68</v>
      </c>
      <c r="J130" s="53">
        <f t="shared" si="56"/>
        <v>0.21582258677506258</v>
      </c>
      <c r="K130" s="42">
        <f t="shared" si="59"/>
        <v>11.757527367678286</v>
      </c>
      <c r="L130" s="42">
        <f t="shared" si="60"/>
        <v>0.29845583532956294</v>
      </c>
      <c r="M130" s="42">
        <f t="shared" si="61"/>
        <v>0.70154416467043701</v>
      </c>
      <c r="N130" s="229">
        <v>9.99</v>
      </c>
      <c r="O130" s="50">
        <f t="shared" si="57"/>
        <v>1.7675273676782854</v>
      </c>
    </row>
    <row r="131" spans="1:15">
      <c r="A131" t="s">
        <v>192</v>
      </c>
      <c r="B131" s="137">
        <f>(2079123)/(5465240*2/60)</f>
        <v>11.41279980385125</v>
      </c>
      <c r="C131" s="229">
        <v>30.28</v>
      </c>
      <c r="D131" s="53">
        <f t="shared" si="58"/>
        <v>3.4557957806061586</v>
      </c>
      <c r="E131" s="230">
        <f>4029272/(5465240)*60</f>
        <v>44.23526139748666</v>
      </c>
      <c r="F131" s="42">
        <v>379.85</v>
      </c>
      <c r="G131" s="128">
        <f t="shared" si="55"/>
        <v>8.4013820209176533</v>
      </c>
      <c r="H131" s="78">
        <f>(277277/5465240)*60</f>
        <v>3.0440785766041381</v>
      </c>
      <c r="I131" s="53">
        <v>135.12</v>
      </c>
      <c r="J131" s="53">
        <f t="shared" si="56"/>
        <v>0.20565794863537556</v>
      </c>
      <c r="K131" s="42">
        <f t="shared" si="59"/>
        <v>12.062835750159186</v>
      </c>
      <c r="L131" s="42">
        <f t="shared" si="60"/>
        <v>0.28648286789120497</v>
      </c>
      <c r="M131" s="42">
        <f t="shared" si="61"/>
        <v>0.71351713210879508</v>
      </c>
      <c r="N131" s="229">
        <v>10.17</v>
      </c>
      <c r="O131" s="50">
        <f t="shared" si="57"/>
        <v>1.8928357501591861</v>
      </c>
    </row>
    <row r="132" spans="1:15">
      <c r="A132" t="s">
        <v>193</v>
      </c>
      <c r="B132" s="137">
        <f>(1964922)/(5149147*2/60)</f>
        <v>11.448043724523693</v>
      </c>
      <c r="C132" s="229">
        <v>29.7</v>
      </c>
      <c r="D132" s="53">
        <f t="shared" si="58"/>
        <v>3.4000689861835367</v>
      </c>
      <c r="E132" s="230">
        <f>3822338/(5149147)*60</f>
        <v>44.539470323919666</v>
      </c>
      <c r="F132" s="42">
        <v>385.84</v>
      </c>
      <c r="G132" s="128">
        <f t="shared" si="55"/>
        <v>8.5925546148905809</v>
      </c>
      <c r="H132" s="78">
        <f>(257585/5149147)*60</f>
        <v>3.0014874308307764</v>
      </c>
      <c r="I132" s="53">
        <v>113.33</v>
      </c>
      <c r="J132" s="53">
        <f t="shared" si="56"/>
        <v>0.17007928526802596</v>
      </c>
      <c r="K132" s="42">
        <f t="shared" si="59"/>
        <v>12.162702886342144</v>
      </c>
      <c r="L132" s="42">
        <f t="shared" si="60"/>
        <v>0.27954879914082043</v>
      </c>
      <c r="M132" s="42">
        <f t="shared" si="61"/>
        <v>0.72045120085917946</v>
      </c>
      <c r="N132" s="229">
        <v>10.23</v>
      </c>
      <c r="O132" s="50">
        <f t="shared" si="57"/>
        <v>1.9327028863421436</v>
      </c>
    </row>
    <row r="133" spans="1:15">
      <c r="A133" t="s">
        <v>196</v>
      </c>
      <c r="B133" s="137">
        <f>(1966511)/(5174040*2/60)</f>
        <v>11.402178954936568</v>
      </c>
      <c r="C133" s="229">
        <v>29.4</v>
      </c>
      <c r="D133" s="53">
        <f t="shared" si="58"/>
        <v>3.3522406127513511</v>
      </c>
      <c r="E133" s="230">
        <f>3846687/(5174040)*60</f>
        <v>44.607544587981543</v>
      </c>
      <c r="F133" s="42">
        <v>393.55</v>
      </c>
      <c r="G133" s="128">
        <f t="shared" si="55"/>
        <v>8.7776495863000683</v>
      </c>
      <c r="H133" s="78">
        <f>(262574/5174040)*60</f>
        <v>3.0449010830994734</v>
      </c>
      <c r="I133" s="53">
        <v>117.5</v>
      </c>
      <c r="J133" s="53">
        <f t="shared" si="56"/>
        <v>0.17888793863209407</v>
      </c>
      <c r="K133" s="42">
        <f t="shared" si="59"/>
        <v>12.308778137683515</v>
      </c>
      <c r="L133" s="42">
        <f t="shared" si="60"/>
        <v>0.27234552245997634</v>
      </c>
      <c r="M133" s="42">
        <f t="shared" si="61"/>
        <v>0.72765447754002366</v>
      </c>
      <c r="N133" s="229">
        <v>10.06</v>
      </c>
      <c r="O133" s="50">
        <f t="shared" si="57"/>
        <v>2.2487781376835141</v>
      </c>
    </row>
    <row r="134" spans="1:15">
      <c r="A134" t="s">
        <v>194</v>
      </c>
      <c r="B134" s="137">
        <f>(1936907)/(5086941*2/60)</f>
        <v>11.422819726039677</v>
      </c>
      <c r="C134" s="229">
        <v>28.3</v>
      </c>
      <c r="D134" s="53">
        <f t="shared" si="58"/>
        <v>3.2326579824692288</v>
      </c>
      <c r="E134" s="230">
        <f>3778127/(5086941)*60</f>
        <v>44.562659562986873</v>
      </c>
      <c r="F134" s="42">
        <v>355.71</v>
      </c>
      <c r="G134" s="128">
        <f t="shared" si="55"/>
        <v>7.9256918165750303</v>
      </c>
      <c r="H134" s="78">
        <f>(254192/5086941)*60</f>
        <v>2.9981711995480191</v>
      </c>
      <c r="I134" s="53">
        <v>116.55</v>
      </c>
      <c r="J134" s="53">
        <f t="shared" si="56"/>
        <v>0.1747184266536608</v>
      </c>
      <c r="K134" s="42">
        <f t="shared" si="59"/>
        <v>11.33306822569792</v>
      </c>
      <c r="L134" s="42">
        <f t="shared" si="60"/>
        <v>0.28524120018435284</v>
      </c>
      <c r="M134" s="42">
        <f t="shared" si="61"/>
        <v>0.71475879981564716</v>
      </c>
      <c r="N134" s="229">
        <v>9.15</v>
      </c>
      <c r="O134" s="50">
        <f t="shared" si="57"/>
        <v>2.1830682256979195</v>
      </c>
    </row>
    <row r="135" spans="1:15">
      <c r="A135" t="s">
        <v>195</v>
      </c>
      <c r="B135" s="137">
        <f>(2043323)/(5365828*2/60)</f>
        <v>11.424087764274219</v>
      </c>
      <c r="C135" s="229">
        <v>27.2</v>
      </c>
      <c r="D135" s="53">
        <f t="shared" si="58"/>
        <v>3.1073518718825874</v>
      </c>
      <c r="E135" s="230">
        <f>3979120/(5365828)*60</f>
        <v>44.494009125898188</v>
      </c>
      <c r="F135" s="42">
        <v>341.08</v>
      </c>
      <c r="G135" s="128">
        <f t="shared" si="55"/>
        <v>7.5880083163306766</v>
      </c>
      <c r="H135" s="78">
        <f>(265562/5365828)*60</f>
        <v>2.9694801995144084</v>
      </c>
      <c r="I135" s="53">
        <v>117.14</v>
      </c>
      <c r="J135" s="53">
        <f t="shared" si="56"/>
        <v>0.17392245528555889</v>
      </c>
      <c r="K135" s="42">
        <f t="shared" si="59"/>
        <v>10.869282643498824</v>
      </c>
      <c r="L135" s="42">
        <f t="shared" si="60"/>
        <v>0.28588380427674021</v>
      </c>
      <c r="M135" s="42">
        <f t="shared" si="61"/>
        <v>0.71411619572325968</v>
      </c>
      <c r="N135" s="229">
        <v>8.51</v>
      </c>
      <c r="O135" s="50">
        <f t="shared" si="57"/>
        <v>2.3592826434988243</v>
      </c>
    </row>
    <row r="136" spans="1:15">
      <c r="A136" s="38" t="s">
        <v>205</v>
      </c>
      <c r="B136" s="137">
        <f>(1944966)/(5088884*2/60)</f>
        <v>11.465967783899181</v>
      </c>
      <c r="C136" s="229">
        <v>27.6</v>
      </c>
      <c r="D136" s="53">
        <f>(B136*C136)/100</f>
        <v>3.164607108356174</v>
      </c>
      <c r="E136" s="230">
        <f>3771727/(5088884)*60</f>
        <v>44.470186390572074</v>
      </c>
      <c r="F136" s="42">
        <v>332.5</v>
      </c>
      <c r="G136" s="128">
        <f>E136*F136/2000</f>
        <v>7.3931684874326073</v>
      </c>
      <c r="H136" s="78">
        <f>(259078/5088884)*60</f>
        <v>3.0546343756312782</v>
      </c>
      <c r="I136" s="53">
        <v>127.22</v>
      </c>
      <c r="J136" s="53">
        <f t="shared" si="56"/>
        <v>0.19430529263390559</v>
      </c>
      <c r="K136" s="42">
        <f t="shared" si="59"/>
        <v>10.752080888422688</v>
      </c>
      <c r="L136" s="42">
        <f t="shared" si="60"/>
        <v>0.29432508378575045</v>
      </c>
      <c r="M136" s="42">
        <f t="shared" si="61"/>
        <v>0.70567491621424949</v>
      </c>
      <c r="N136" s="229">
        <v>8.4</v>
      </c>
      <c r="O136" s="50">
        <f>K136-N136</f>
        <v>2.3520808884226874</v>
      </c>
    </row>
    <row r="137" spans="1:15">
      <c r="A137" s="1" t="s">
        <v>226</v>
      </c>
      <c r="B137" s="347">
        <f>(23532093)/(61647960*2/60)</f>
        <v>11.451519077030285</v>
      </c>
      <c r="C137" s="41">
        <f>AVERAGE(C125:C136)</f>
        <v>30.504166666666666</v>
      </c>
      <c r="D137" s="41">
        <f t="shared" ref="D137:O137" si="62">AVERAGE(D125:D136)</f>
        <v>3.4948946769951337</v>
      </c>
      <c r="E137" s="347">
        <f>45508748/(61647960)*60</f>
        <v>44.292217942004896</v>
      </c>
      <c r="F137" s="41">
        <f t="shared" si="62"/>
        <v>344.13666666666671</v>
      </c>
      <c r="G137" s="348">
        <f t="shared" si="62"/>
        <v>7.6231154191450043</v>
      </c>
      <c r="H137" s="346">
        <f>(3129856/61647960)*60</f>
        <v>3.0461893629570227</v>
      </c>
      <c r="I137" s="349">
        <f t="shared" si="62"/>
        <v>122.575</v>
      </c>
      <c r="J137" s="349">
        <f t="shared" si="56"/>
        <v>0.18669333058222853</v>
      </c>
      <c r="K137" s="41">
        <f t="shared" si="62"/>
        <v>11.304648336026778</v>
      </c>
      <c r="L137" s="41">
        <f t="shared" si="62"/>
        <v>0.31020661040950143</v>
      </c>
      <c r="M137" s="41">
        <f t="shared" si="62"/>
        <v>0.68979338959049874</v>
      </c>
      <c r="N137" s="41">
        <f t="shared" si="62"/>
        <v>9.5341666666666693</v>
      </c>
      <c r="O137" s="350">
        <f t="shared" si="62"/>
        <v>1.7704816693601104</v>
      </c>
    </row>
    <row r="138" spans="1:15">
      <c r="A138" s="107" t="s">
        <v>524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3"/>
    </row>
    <row r="139" spans="1:15">
      <c r="A139" s="153" t="s">
        <v>523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3"/>
    </row>
    <row r="140" spans="1:15">
      <c r="A140" t="s">
        <v>349</v>
      </c>
    </row>
    <row r="141" spans="1:15">
      <c r="A141" t="s">
        <v>350</v>
      </c>
    </row>
    <row r="142" spans="1:15" ht="10.199999999999999" customHeight="1">
      <c r="A142" t="s">
        <v>502</v>
      </c>
      <c r="N142" s="270"/>
      <c r="O142" s="270" t="s">
        <v>679</v>
      </c>
    </row>
  </sheetData>
  <phoneticPr fontId="0" type="noConversion"/>
  <pageMargins left="0.7" right="0.7" top="0.75" bottom="0.75" header="0.3" footer="0.3"/>
  <pageSetup scale="51" firstPageNumber="36" orientation="portrait" useFirstPageNumber="1" r:id="rId1"/>
  <headerFooter alignWithMargins="0">
    <oddFooter>&amp;C&amp;P
Oil Crops Yearbook/OCS-2018
March 2018
Economic Research Service, USDA</oddFooter>
  </headerFooter>
  <ignoredErrors>
    <ignoredError sqref="E137 H137 J137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9"/>
  <sheetViews>
    <sheetView topLeftCell="A27" zoomScaleNormal="100" zoomScaleSheetLayoutView="100" workbookViewId="0">
      <selection activeCell="A105" sqref="A105"/>
    </sheetView>
  </sheetViews>
  <sheetFormatPr defaultRowHeight="10.199999999999999"/>
  <cols>
    <col min="1" max="9" width="12.85546875" customWidth="1"/>
  </cols>
  <sheetData>
    <row r="1" spans="1:9">
      <c r="A1" s="114" t="s">
        <v>617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20</v>
      </c>
      <c r="B2" s="47" t="s">
        <v>97</v>
      </c>
      <c r="C2" s="4" t="s">
        <v>98</v>
      </c>
      <c r="D2" s="4" t="s">
        <v>94</v>
      </c>
      <c r="E2" s="4" t="s">
        <v>93</v>
      </c>
      <c r="F2" s="4" t="s">
        <v>99</v>
      </c>
      <c r="G2" s="1"/>
      <c r="H2" s="46" t="s">
        <v>342</v>
      </c>
      <c r="I2" s="1"/>
    </row>
    <row r="3" spans="1:9">
      <c r="A3" s="1"/>
      <c r="B3" s="9"/>
      <c r="C3" s="9"/>
      <c r="D3" s="9"/>
      <c r="E3" s="9"/>
      <c r="F3" s="9"/>
      <c r="G3" s="9" t="s">
        <v>106</v>
      </c>
      <c r="H3" s="81" t="s">
        <v>343</v>
      </c>
      <c r="I3" s="9" t="s">
        <v>488</v>
      </c>
    </row>
    <row r="4" spans="1:9">
      <c r="B4" s="288" t="s">
        <v>580</v>
      </c>
      <c r="C4" s="289"/>
      <c r="D4" s="7" t="s">
        <v>95</v>
      </c>
      <c r="E4" s="7" t="s">
        <v>91</v>
      </c>
      <c r="F4" s="7" t="s">
        <v>96</v>
      </c>
      <c r="H4" s="272" t="s">
        <v>579</v>
      </c>
      <c r="I4" s="272"/>
    </row>
    <row r="6" spans="1:9">
      <c r="A6" s="10">
        <v>1980</v>
      </c>
      <c r="B6" s="83">
        <f>+'tab 12'!N6</f>
        <v>1521.4</v>
      </c>
      <c r="C6" s="83">
        <f>+'tab 13'!N6</f>
        <v>1399.8</v>
      </c>
      <c r="D6" s="84">
        <f t="shared" ref="D6:D29" si="0">+E6*1000/C6</f>
        <v>1649.7549649949992</v>
      </c>
      <c r="E6" s="83">
        <f>+'tab 14'!N6/1000</f>
        <v>2309.3270000000002</v>
      </c>
      <c r="F6" s="23">
        <v>578.63499999999999</v>
      </c>
      <c r="G6" s="179">
        <v>22.75</v>
      </c>
      <c r="H6" s="91" t="s">
        <v>266</v>
      </c>
      <c r="I6" s="25">
        <v>12.5</v>
      </c>
    </row>
    <row r="7" spans="1:9">
      <c r="A7" s="10">
        <v>1981</v>
      </c>
      <c r="B7" s="83">
        <f>+'tab 12'!N7</f>
        <v>1514</v>
      </c>
      <c r="C7" s="83">
        <f>+'tab 13'!N7</f>
        <v>1488.7</v>
      </c>
      <c r="D7" s="84">
        <f t="shared" si="0"/>
        <v>2674.7161953382147</v>
      </c>
      <c r="E7" s="83">
        <f>+'tab 14'!N7/1000</f>
        <v>3981.85</v>
      </c>
      <c r="F7" s="23">
        <v>1069.5260000000001</v>
      </c>
      <c r="G7" s="179">
        <v>22.75</v>
      </c>
      <c r="H7" s="91" t="s">
        <v>266</v>
      </c>
      <c r="I7" s="25">
        <v>12.5</v>
      </c>
    </row>
    <row r="8" spans="1:9">
      <c r="A8" s="10">
        <v>1982</v>
      </c>
      <c r="B8" s="83">
        <f>+'tab 12'!N8</f>
        <v>1311.4</v>
      </c>
      <c r="C8" s="83">
        <f>+'tab 13'!N8</f>
        <v>1277.4000000000001</v>
      </c>
      <c r="D8" s="84">
        <f t="shared" si="0"/>
        <v>2693.1697197432281</v>
      </c>
      <c r="E8" s="83">
        <f>+'tab 14'!N8/1000</f>
        <v>3440.2550000000001</v>
      </c>
      <c r="F8" s="23">
        <v>862.68600000000004</v>
      </c>
      <c r="G8" s="179">
        <v>27.5</v>
      </c>
      <c r="H8" s="91" t="s">
        <v>266</v>
      </c>
      <c r="I8" s="25">
        <v>10</v>
      </c>
    </row>
    <row r="9" spans="1:9">
      <c r="A9" s="10">
        <v>1983</v>
      </c>
      <c r="B9" s="83">
        <f>+'tab 12'!N9</f>
        <v>1411</v>
      </c>
      <c r="C9" s="83">
        <f>+'tab 13'!N9</f>
        <v>1373.5</v>
      </c>
      <c r="D9" s="84">
        <f t="shared" si="0"/>
        <v>2399.3665817255187</v>
      </c>
      <c r="E9" s="83">
        <f>+'tab 14'!N9/1000</f>
        <v>3295.53</v>
      </c>
      <c r="F9" s="23">
        <v>814.57899999999995</v>
      </c>
      <c r="G9" s="179">
        <v>27.5</v>
      </c>
      <c r="H9" s="91" t="s">
        <v>266</v>
      </c>
      <c r="I9" s="25">
        <v>9.3000000000000007</v>
      </c>
    </row>
    <row r="10" spans="1:9">
      <c r="A10" s="10">
        <v>1984</v>
      </c>
      <c r="B10" s="83">
        <f>+'tab 12'!N10</f>
        <v>1558.6</v>
      </c>
      <c r="C10" s="83">
        <f>+'tab 13'!N10</f>
        <v>1528</v>
      </c>
      <c r="D10" s="84">
        <f t="shared" si="0"/>
        <v>2883.4718586387435</v>
      </c>
      <c r="E10" s="83">
        <f>+'tab 14'!N10/1000</f>
        <v>4405.9449999999997</v>
      </c>
      <c r="F10" s="23">
        <v>1230.7739999999999</v>
      </c>
      <c r="G10" s="179">
        <v>27.5</v>
      </c>
      <c r="H10" s="91" t="s">
        <v>266</v>
      </c>
      <c r="I10" s="25">
        <v>9.3000000000000007</v>
      </c>
    </row>
    <row r="11" spans="1:9">
      <c r="A11" s="10">
        <v>1985</v>
      </c>
      <c r="B11" s="83">
        <f>+'tab 12'!N11</f>
        <v>1490.4</v>
      </c>
      <c r="C11" s="83">
        <f>+'tab 13'!N11</f>
        <v>1467.4</v>
      </c>
      <c r="D11" s="84">
        <f t="shared" si="0"/>
        <v>2809.5863431920407</v>
      </c>
      <c r="E11" s="83">
        <f>+'tab 14'!N11/1000</f>
        <v>4122.7870000000003</v>
      </c>
      <c r="F11" s="23">
        <v>1003.412</v>
      </c>
      <c r="G11" s="179">
        <v>27.95</v>
      </c>
      <c r="H11" s="91" t="s">
        <v>266</v>
      </c>
      <c r="I11" s="25">
        <v>7.4</v>
      </c>
    </row>
    <row r="12" spans="1:9">
      <c r="A12" s="10">
        <v>1986</v>
      </c>
      <c r="B12" s="83">
        <f>+'tab 12'!N12</f>
        <v>1564.7</v>
      </c>
      <c r="C12" s="83">
        <f>+'tab 13'!N12</f>
        <v>1535.2</v>
      </c>
      <c r="D12" s="84">
        <f t="shared" si="0"/>
        <v>2408.2106565919748</v>
      </c>
      <c r="E12" s="83">
        <f>+'tab 14'!N12/1000</f>
        <v>3697.085</v>
      </c>
      <c r="F12" s="23">
        <v>1073.279</v>
      </c>
      <c r="G12" s="179">
        <v>30.37</v>
      </c>
      <c r="H12" s="91" t="s">
        <v>266</v>
      </c>
      <c r="I12" s="25">
        <v>7.5</v>
      </c>
    </row>
    <row r="13" spans="1:9">
      <c r="A13" s="10">
        <v>1987</v>
      </c>
      <c r="B13" s="83">
        <f>+'tab 12'!N13</f>
        <v>1567.4</v>
      </c>
      <c r="C13" s="83">
        <f>+'tab 13'!N13</f>
        <v>1547.4</v>
      </c>
      <c r="D13" s="84">
        <f t="shared" si="0"/>
        <v>2336.8295204859764</v>
      </c>
      <c r="E13" s="83">
        <f>+'tab 14'!N13/1000</f>
        <v>3616.01</v>
      </c>
      <c r="F13" s="23">
        <v>1021.87</v>
      </c>
      <c r="G13" s="179">
        <v>30.41</v>
      </c>
      <c r="H13" s="91" t="s">
        <v>266</v>
      </c>
      <c r="I13" s="25">
        <v>7.5</v>
      </c>
    </row>
    <row r="14" spans="1:9">
      <c r="A14" s="10">
        <v>1988</v>
      </c>
      <c r="B14" s="83">
        <f>+'tab 12'!N14</f>
        <v>1657.4</v>
      </c>
      <c r="C14" s="83">
        <f>+'tab 13'!N14</f>
        <v>1628.4</v>
      </c>
      <c r="D14" s="84">
        <f t="shared" si="0"/>
        <v>2444.6800540407762</v>
      </c>
      <c r="E14" s="83">
        <f>+'tab 14'!N14/1000</f>
        <v>3980.9169999999999</v>
      </c>
      <c r="F14" s="23">
        <v>1115.202</v>
      </c>
      <c r="G14" s="179">
        <v>30.76</v>
      </c>
      <c r="H14" s="91" t="s">
        <v>266</v>
      </c>
      <c r="I14" s="25">
        <v>7.5</v>
      </c>
    </row>
    <row r="15" spans="1:9">
      <c r="A15" s="10">
        <v>1989</v>
      </c>
      <c r="B15" s="83">
        <f>+'tab 12'!N15</f>
        <v>1665.2</v>
      </c>
      <c r="C15" s="83">
        <f>+'tab 13'!N15</f>
        <v>1644.7</v>
      </c>
      <c r="D15" s="84">
        <f t="shared" si="0"/>
        <v>2425.9713017571594</v>
      </c>
      <c r="E15" s="83">
        <f>+'tab 14'!N15/1000</f>
        <v>3989.9949999999999</v>
      </c>
      <c r="F15" s="23">
        <v>1118.875</v>
      </c>
      <c r="G15" s="179">
        <v>30.79</v>
      </c>
      <c r="H15" s="91" t="s">
        <v>266</v>
      </c>
      <c r="I15" s="25">
        <v>7.5</v>
      </c>
    </row>
    <row r="16" spans="1:9">
      <c r="A16" s="10">
        <v>1990</v>
      </c>
      <c r="B16" s="83">
        <f>+'tab 12'!N16</f>
        <v>1846</v>
      </c>
      <c r="C16" s="83">
        <f>+'tab 13'!N16</f>
        <v>1815.5</v>
      </c>
      <c r="D16" s="84">
        <f t="shared" si="0"/>
        <v>1984.9352795373175</v>
      </c>
      <c r="E16" s="83">
        <f>+'tab 14'!N16/1000</f>
        <v>3603.65</v>
      </c>
      <c r="F16" s="23">
        <v>1249.8989999999999</v>
      </c>
      <c r="G16" s="179">
        <v>31.57</v>
      </c>
      <c r="H16" s="91" t="s">
        <v>266</v>
      </c>
      <c r="I16" s="25">
        <v>7.5</v>
      </c>
    </row>
    <row r="17" spans="1:9">
      <c r="A17" s="10">
        <v>1991</v>
      </c>
      <c r="B17" s="83">
        <f>+'tab 12'!N17</f>
        <v>2039.2</v>
      </c>
      <c r="C17" s="83">
        <f>+'tab 13'!N17</f>
        <v>2015.7</v>
      </c>
      <c r="D17" s="84">
        <f t="shared" si="0"/>
        <v>2444.0988242297963</v>
      </c>
      <c r="E17" s="83">
        <f>+'tab 14'!N17/1000</f>
        <v>4926.57</v>
      </c>
      <c r="F17" s="23">
        <v>1392.0409999999999</v>
      </c>
      <c r="G17" s="179">
        <v>32.14</v>
      </c>
      <c r="H17" s="91" t="s">
        <v>266</v>
      </c>
      <c r="I17" s="25">
        <v>7.49</v>
      </c>
    </row>
    <row r="18" spans="1:9">
      <c r="A18" s="10">
        <v>1992</v>
      </c>
      <c r="B18" s="83">
        <f>+'tab 12'!N18</f>
        <v>1686.6</v>
      </c>
      <c r="C18" s="83">
        <f>+'tab 13'!N18</f>
        <v>1669.1</v>
      </c>
      <c r="D18" s="84">
        <f t="shared" si="0"/>
        <v>2566.9019231921397</v>
      </c>
      <c r="E18" s="83">
        <f>+'tab 14'!N18/1000</f>
        <v>4284.4160000000002</v>
      </c>
      <c r="F18" s="23">
        <v>1285.3610000000001</v>
      </c>
      <c r="G18" s="179">
        <v>33.75</v>
      </c>
      <c r="H18" s="91" t="s">
        <v>266</v>
      </c>
      <c r="I18" s="25">
        <v>6.55</v>
      </c>
    </row>
    <row r="19" spans="1:9">
      <c r="A19" s="10">
        <v>1993</v>
      </c>
      <c r="B19" s="83">
        <f>+'tab 12'!N19</f>
        <v>1733.5</v>
      </c>
      <c r="C19" s="83">
        <f>+'tab 13'!N19</f>
        <v>1689.8</v>
      </c>
      <c r="D19" s="84">
        <f t="shared" si="0"/>
        <v>2007.5837377204402</v>
      </c>
      <c r="E19" s="83">
        <f>+'tab 14'!N19/1000</f>
        <v>3392.415</v>
      </c>
      <c r="F19" s="23">
        <v>1030.904</v>
      </c>
      <c r="G19" s="179">
        <v>33.75</v>
      </c>
      <c r="H19" s="91" t="s">
        <v>266</v>
      </c>
      <c r="I19" s="25">
        <v>6.55</v>
      </c>
    </row>
    <row r="20" spans="1:9">
      <c r="A20" s="10">
        <v>1994</v>
      </c>
      <c r="B20" s="83">
        <f>+'tab 12'!N20</f>
        <v>1641</v>
      </c>
      <c r="C20" s="83">
        <f>+'tab 13'!N20</f>
        <v>1618.5</v>
      </c>
      <c r="D20" s="84">
        <f t="shared" si="0"/>
        <v>2624.3157244362064</v>
      </c>
      <c r="E20" s="83">
        <f>+'tab 14'!N20/1000</f>
        <v>4247.4549999999999</v>
      </c>
      <c r="F20" s="23">
        <v>1229.0119999999999</v>
      </c>
      <c r="G20" s="179">
        <v>33.92</v>
      </c>
      <c r="H20" s="91" t="s">
        <v>266</v>
      </c>
      <c r="I20" s="25">
        <v>6.6</v>
      </c>
    </row>
    <row r="21" spans="1:9">
      <c r="A21" s="10">
        <v>1995</v>
      </c>
      <c r="B21" s="83">
        <f>+'tab 12'!N21</f>
        <v>1537.5</v>
      </c>
      <c r="C21" s="83">
        <f>+'tab 13'!N21</f>
        <v>1517</v>
      </c>
      <c r="D21" s="84">
        <f t="shared" si="0"/>
        <v>2281.7897165458139</v>
      </c>
      <c r="E21" s="83">
        <f>+'tab 14'!N21/1000</f>
        <v>3461.4749999999999</v>
      </c>
      <c r="F21" s="23">
        <v>1013.323</v>
      </c>
      <c r="G21" s="179">
        <v>33.92</v>
      </c>
      <c r="H21" s="91" t="s">
        <v>266</v>
      </c>
      <c r="I21" s="25">
        <v>6.6</v>
      </c>
    </row>
    <row r="22" spans="1:9">
      <c r="A22" s="10">
        <v>1996</v>
      </c>
      <c r="B22" s="83">
        <f>+'tab 12'!N22</f>
        <v>1401.5</v>
      </c>
      <c r="C22" s="83">
        <f>+'tab 13'!N22</f>
        <v>1380</v>
      </c>
      <c r="D22" s="84">
        <f t="shared" si="0"/>
        <v>2653.0471014492755</v>
      </c>
      <c r="E22" s="83">
        <f>+'tab 14'!N22/1000</f>
        <v>3661.2049999999999</v>
      </c>
      <c r="F22" s="23">
        <v>1029.7739999999999</v>
      </c>
      <c r="G22" s="179">
        <v>30.5</v>
      </c>
      <c r="H22" s="91" t="s">
        <v>266</v>
      </c>
      <c r="I22" s="25">
        <v>6.6</v>
      </c>
    </row>
    <row r="23" spans="1:9">
      <c r="A23" s="10">
        <v>1997</v>
      </c>
      <c r="B23" s="83">
        <f>+'tab 12'!N23</f>
        <v>1434</v>
      </c>
      <c r="C23" s="83">
        <f>+'tab 13'!N23</f>
        <v>1413.8</v>
      </c>
      <c r="D23" s="84">
        <f t="shared" si="0"/>
        <v>2503.4516904795587</v>
      </c>
      <c r="E23" s="83">
        <f>+'tab 14'!N23/1000</f>
        <v>3539.38</v>
      </c>
      <c r="F23" s="23">
        <v>1002.703</v>
      </c>
      <c r="G23" s="179">
        <v>30.5</v>
      </c>
      <c r="H23" s="91" t="s">
        <v>266</v>
      </c>
      <c r="I23" s="25">
        <v>6.6</v>
      </c>
    </row>
    <row r="24" spans="1:9">
      <c r="A24" s="10">
        <v>1998</v>
      </c>
      <c r="B24" s="83">
        <f>+'tab 12'!N24</f>
        <v>1521</v>
      </c>
      <c r="C24" s="83">
        <f>+'tab 13'!N24</f>
        <v>1467</v>
      </c>
      <c r="D24" s="84">
        <f t="shared" si="0"/>
        <v>2701.7314246762098</v>
      </c>
      <c r="E24" s="83">
        <f>+'tab 14'!N24/1000</f>
        <v>3963.44</v>
      </c>
      <c r="F24" s="23">
        <v>1125.9190000000001</v>
      </c>
      <c r="G24" s="179">
        <v>30.5</v>
      </c>
      <c r="H24" s="91" t="s">
        <v>266</v>
      </c>
      <c r="I24" s="25">
        <v>6.6</v>
      </c>
    </row>
    <row r="25" spans="1:9">
      <c r="A25" s="10">
        <v>1999</v>
      </c>
      <c r="B25" s="83">
        <f>+'tab 12'!N25</f>
        <v>1534.5</v>
      </c>
      <c r="C25" s="83">
        <f>+'tab 13'!N25</f>
        <v>1436</v>
      </c>
      <c r="D25" s="84">
        <f t="shared" si="0"/>
        <v>2666.7757660167131</v>
      </c>
      <c r="E25" s="83">
        <f>+'tab 14'!N25/1000</f>
        <v>3829.49</v>
      </c>
      <c r="F25" s="23">
        <v>971.60799999999995</v>
      </c>
      <c r="G25" s="179">
        <v>30.5</v>
      </c>
      <c r="H25" s="91" t="s">
        <v>266</v>
      </c>
      <c r="I25" s="25">
        <v>6.6</v>
      </c>
    </row>
    <row r="26" spans="1:9">
      <c r="A26" s="10">
        <v>2000</v>
      </c>
      <c r="B26" s="83">
        <f>+'tab 12'!N26</f>
        <v>1536.8</v>
      </c>
      <c r="C26" s="83">
        <f>+'tab 13'!N26</f>
        <v>1336</v>
      </c>
      <c r="D26" s="84">
        <f t="shared" si="0"/>
        <v>2444.2402694610778</v>
      </c>
      <c r="E26" s="83">
        <f>+'tab 14'!N26/1000</f>
        <v>3265.5050000000001</v>
      </c>
      <c r="F26" s="23">
        <v>896.09699999999998</v>
      </c>
      <c r="G26" s="180">
        <v>30.5</v>
      </c>
      <c r="H26" s="91" t="s">
        <v>266</v>
      </c>
      <c r="I26" s="68">
        <v>6.6</v>
      </c>
    </row>
    <row r="27" spans="1:9">
      <c r="A27" s="10">
        <v>2001</v>
      </c>
      <c r="B27" s="83">
        <f>+'tab 12'!N27</f>
        <v>1541.2</v>
      </c>
      <c r="C27" s="83">
        <f>+'tab 13'!N27</f>
        <v>1411.9</v>
      </c>
      <c r="D27" s="84">
        <f t="shared" si="0"/>
        <v>3029.0417168354697</v>
      </c>
      <c r="E27" s="83">
        <f>+'tab 14'!N27/1000</f>
        <v>4276.7039999999997</v>
      </c>
      <c r="F27" s="23">
        <v>1000.5119999999999</v>
      </c>
      <c r="G27" s="180">
        <v>30.5</v>
      </c>
      <c r="H27" s="91" t="s">
        <v>266</v>
      </c>
      <c r="I27" s="68">
        <v>6.6</v>
      </c>
    </row>
    <row r="28" spans="1:9">
      <c r="A28" s="10">
        <v>2002</v>
      </c>
      <c r="B28" s="83">
        <f>+'tab 12'!N28</f>
        <v>1353</v>
      </c>
      <c r="C28" s="83">
        <f>+'tab 13'!N28</f>
        <v>1291.7</v>
      </c>
      <c r="D28" s="84">
        <f t="shared" si="0"/>
        <v>2571.0613919640782</v>
      </c>
      <c r="E28" s="83">
        <f>+'tab 14'!N28/1000</f>
        <v>3321.04</v>
      </c>
      <c r="F28" s="23">
        <v>599.71400000000006</v>
      </c>
      <c r="G28" s="91" t="s">
        <v>266</v>
      </c>
      <c r="H28" s="189">
        <v>17.75</v>
      </c>
      <c r="I28" s="91" t="s">
        <v>266</v>
      </c>
    </row>
    <row r="29" spans="1:9">
      <c r="A29" s="10">
        <v>2003</v>
      </c>
      <c r="B29" s="83">
        <f>+'tab 12'!N29</f>
        <v>1344</v>
      </c>
      <c r="C29" s="83">
        <f>+'tab 13'!N29</f>
        <v>1312</v>
      </c>
      <c r="D29" s="84">
        <f t="shared" si="0"/>
        <v>3158.6509146341459</v>
      </c>
      <c r="E29" s="83">
        <f>+'tab 14'!N29/1000</f>
        <v>4144.1499999999996</v>
      </c>
      <c r="F29" s="23">
        <v>799.428</v>
      </c>
      <c r="G29" s="91" t="s">
        <v>266</v>
      </c>
      <c r="H29" s="189">
        <v>17.75</v>
      </c>
      <c r="I29" s="91" t="s">
        <v>266</v>
      </c>
    </row>
    <row r="30" spans="1:9">
      <c r="A30" s="10">
        <v>2004</v>
      </c>
      <c r="B30" s="83">
        <f>+'tab 12'!N30</f>
        <v>1430</v>
      </c>
      <c r="C30" s="83">
        <f>+'tab 13'!N30</f>
        <v>1394</v>
      </c>
      <c r="D30" s="84">
        <f t="shared" ref="D30:D35" si="1">+E30*1000/C30</f>
        <v>3076.1836441893829</v>
      </c>
      <c r="E30" s="83">
        <f>+'tab 14'!N30/1000</f>
        <v>4288.2</v>
      </c>
      <c r="F30" s="23">
        <v>813.55100000000004</v>
      </c>
      <c r="G30" s="91" t="s">
        <v>266</v>
      </c>
      <c r="H30" s="189">
        <v>17.75</v>
      </c>
      <c r="I30" s="91" t="s">
        <v>266</v>
      </c>
    </row>
    <row r="31" spans="1:9">
      <c r="A31" s="62">
        <v>2005</v>
      </c>
      <c r="B31" s="83">
        <f>+'tab 12'!N31</f>
        <v>1657</v>
      </c>
      <c r="C31" s="83">
        <f>+'tab 13'!N31</f>
        <v>1629</v>
      </c>
      <c r="D31" s="84">
        <f t="shared" si="1"/>
        <v>2989.4782074892573</v>
      </c>
      <c r="E31" s="83">
        <f>+'tab 14'!N31/1000</f>
        <v>4869.8599999999997</v>
      </c>
      <c r="F31" s="23">
        <v>843.43499999999995</v>
      </c>
      <c r="G31" s="91" t="s">
        <v>266</v>
      </c>
      <c r="H31" s="189">
        <v>17.75</v>
      </c>
      <c r="I31" s="91" t="s">
        <v>266</v>
      </c>
    </row>
    <row r="32" spans="1:9">
      <c r="A32" s="62">
        <v>2006</v>
      </c>
      <c r="B32" s="83">
        <f>+'tab 12'!N32</f>
        <v>1243</v>
      </c>
      <c r="C32" s="83">
        <f>+'tab 13'!N32</f>
        <v>1210</v>
      </c>
      <c r="D32" s="84">
        <f t="shared" si="1"/>
        <v>2863.0165289256197</v>
      </c>
      <c r="E32" s="83">
        <f>+'tab 14'!N32/1000</f>
        <v>3464.25</v>
      </c>
      <c r="F32" s="23">
        <v>612.798</v>
      </c>
      <c r="G32" s="91" t="s">
        <v>266</v>
      </c>
      <c r="H32" s="189">
        <v>17.75</v>
      </c>
      <c r="I32" s="91" t="s">
        <v>266</v>
      </c>
    </row>
    <row r="33" spans="1:9">
      <c r="A33" s="62">
        <v>2007</v>
      </c>
      <c r="B33" s="83">
        <f>+'tab 12'!N33</f>
        <v>1230</v>
      </c>
      <c r="C33" s="83">
        <f>+'tab 13'!N33</f>
        <v>1195</v>
      </c>
      <c r="D33" s="84">
        <f t="shared" si="1"/>
        <v>3073.0125523012553</v>
      </c>
      <c r="E33" s="83">
        <f>+'tab 14'!N33/1000</f>
        <v>3672.25</v>
      </c>
      <c r="F33" s="23">
        <v>758.62599999999998</v>
      </c>
      <c r="G33" s="91" t="s">
        <v>266</v>
      </c>
      <c r="H33" s="189">
        <v>17.75</v>
      </c>
      <c r="I33" s="91" t="s">
        <v>266</v>
      </c>
    </row>
    <row r="34" spans="1:9">
      <c r="A34" s="62">
        <v>2008</v>
      </c>
      <c r="B34" s="83">
        <f>+'tab 12'!N34</f>
        <v>1534</v>
      </c>
      <c r="C34" s="83">
        <f>+'tab 13'!N34</f>
        <v>1507</v>
      </c>
      <c r="D34" s="84">
        <f t="shared" si="1"/>
        <v>3425.6138022561381</v>
      </c>
      <c r="E34" s="83">
        <f>+'tab 14'!N34/1000</f>
        <v>5162.3999999999996</v>
      </c>
      <c r="F34" s="23">
        <v>1193.617</v>
      </c>
      <c r="G34" s="91" t="s">
        <v>266</v>
      </c>
      <c r="H34" s="189">
        <v>17.75</v>
      </c>
      <c r="I34" s="91" t="s">
        <v>266</v>
      </c>
    </row>
    <row r="35" spans="1:9">
      <c r="A35" s="62">
        <v>2009</v>
      </c>
      <c r="B35" s="83">
        <f>+'tab 12'!N35</f>
        <v>1116</v>
      </c>
      <c r="C35" s="83">
        <f>+'tab 13'!N35</f>
        <v>1079</v>
      </c>
      <c r="D35" s="84">
        <f t="shared" si="1"/>
        <v>3421.3623725671919</v>
      </c>
      <c r="E35" s="83">
        <f>+'tab 14'!N35/1000</f>
        <v>3691.65</v>
      </c>
      <c r="F35" s="23">
        <v>793.14700000000005</v>
      </c>
      <c r="G35" s="91" t="s">
        <v>266</v>
      </c>
      <c r="H35" s="189">
        <v>17.75</v>
      </c>
      <c r="I35" s="91" t="s">
        <v>266</v>
      </c>
    </row>
    <row r="36" spans="1:9">
      <c r="A36" s="62">
        <v>2010</v>
      </c>
      <c r="B36" s="83">
        <f>+'tab 12'!N36</f>
        <v>1288</v>
      </c>
      <c r="C36" s="83">
        <f>+'tab 13'!N36</f>
        <v>1255</v>
      </c>
      <c r="D36" s="84">
        <f t="shared" ref="D36:D41" si="2">+E36*1000/C36</f>
        <v>3312.2231075697209</v>
      </c>
      <c r="E36" s="83">
        <f>+'tab 14'!N36/1000</f>
        <v>4156.84</v>
      </c>
      <c r="F36" s="23">
        <v>938.61099999999999</v>
      </c>
      <c r="G36" s="91" t="s">
        <v>266</v>
      </c>
      <c r="H36" s="189">
        <v>17.75</v>
      </c>
      <c r="I36" s="91" t="s">
        <v>266</v>
      </c>
    </row>
    <row r="37" spans="1:9">
      <c r="A37" s="62">
        <v>2011</v>
      </c>
      <c r="B37" s="83">
        <f>+'tab 12'!N37</f>
        <v>1140.5999999999999</v>
      </c>
      <c r="C37" s="83">
        <f>+'tab 13'!N37</f>
        <v>1080.5999999999999</v>
      </c>
      <c r="D37" s="84">
        <f t="shared" si="2"/>
        <v>3385.7023875624654</v>
      </c>
      <c r="E37" s="83">
        <f>+'tab 14'!N37/1000</f>
        <v>3658.59</v>
      </c>
      <c r="F37" s="23">
        <v>1168.587</v>
      </c>
      <c r="G37" s="91" t="s">
        <v>266</v>
      </c>
      <c r="H37" s="189">
        <v>17.75</v>
      </c>
      <c r="I37" s="91" t="s">
        <v>266</v>
      </c>
    </row>
    <row r="38" spans="1:9">
      <c r="A38" s="62">
        <v>2012</v>
      </c>
      <c r="B38" s="83">
        <f>+'tab 12'!N38</f>
        <v>1638</v>
      </c>
      <c r="C38" s="83">
        <f>+'tab 13'!N38</f>
        <v>1604</v>
      </c>
      <c r="D38" s="84">
        <f t="shared" si="2"/>
        <v>4210.6483790523689</v>
      </c>
      <c r="E38" s="83">
        <f>+'tab 14'!N38/1000</f>
        <v>6753.88</v>
      </c>
      <c r="F38" s="23">
        <v>2026.326</v>
      </c>
      <c r="G38" s="91" t="s">
        <v>266</v>
      </c>
      <c r="H38" s="189">
        <v>17.75</v>
      </c>
      <c r="I38" s="91" t="s">
        <v>266</v>
      </c>
    </row>
    <row r="39" spans="1:9">
      <c r="A39" s="62">
        <v>2013</v>
      </c>
      <c r="B39" s="83">
        <f>+'tab 12'!N39</f>
        <v>1067</v>
      </c>
      <c r="C39" s="83">
        <f>+'tab 13'!N39</f>
        <v>1043</v>
      </c>
      <c r="D39" s="84">
        <f t="shared" si="2"/>
        <v>4001.1217641418984</v>
      </c>
      <c r="E39" s="83">
        <f>+'tab 14'!N39/1000</f>
        <v>4173.17</v>
      </c>
      <c r="F39" s="23">
        <v>1055.0953</v>
      </c>
      <c r="G39" s="91" t="s">
        <v>266</v>
      </c>
      <c r="H39" s="189">
        <v>17.75</v>
      </c>
      <c r="I39" s="91" t="s">
        <v>266</v>
      </c>
    </row>
    <row r="40" spans="1:9">
      <c r="A40" s="62">
        <v>2014</v>
      </c>
      <c r="B40" s="83">
        <f>+'tab 12'!N40</f>
        <v>1353.5</v>
      </c>
      <c r="C40" s="83">
        <f>+'tab 13'!N40</f>
        <v>1322.5</v>
      </c>
      <c r="D40" s="84">
        <f t="shared" si="2"/>
        <v>3923.3761814744803</v>
      </c>
      <c r="E40" s="83">
        <f>+'tab 14'!N40/1000</f>
        <v>5188.665</v>
      </c>
      <c r="F40" s="207">
        <v>1158.251</v>
      </c>
      <c r="G40" s="91" t="s">
        <v>266</v>
      </c>
      <c r="H40" s="189">
        <v>17.75</v>
      </c>
      <c r="I40" s="91" t="s">
        <v>266</v>
      </c>
    </row>
    <row r="41" spans="1:9">
      <c r="A41" s="62">
        <v>2015</v>
      </c>
      <c r="B41" s="83">
        <f>+'tab 12'!N41</f>
        <v>1625</v>
      </c>
      <c r="C41" s="83">
        <f>+'tab 13'!N41</f>
        <v>1560.9</v>
      </c>
      <c r="D41" s="84">
        <f t="shared" si="2"/>
        <v>3844.8055608943555</v>
      </c>
      <c r="E41" s="83">
        <f>+'tab 14'!N41/1000</f>
        <v>6001.357</v>
      </c>
      <c r="F41" s="207">
        <v>1160.56</v>
      </c>
      <c r="G41" s="91" t="s">
        <v>266</v>
      </c>
      <c r="H41" s="189">
        <v>17.75</v>
      </c>
      <c r="I41" s="91" t="s">
        <v>266</v>
      </c>
    </row>
    <row r="42" spans="1:9">
      <c r="A42" s="62">
        <v>2016</v>
      </c>
      <c r="B42" s="83">
        <f>+'tab 12'!N42</f>
        <v>1671</v>
      </c>
      <c r="C42" s="83">
        <f>+'tab 13'!N42</f>
        <v>1536</v>
      </c>
      <c r="D42" s="84">
        <f>+E42*1000/C42</f>
        <v>3633.8346354166665</v>
      </c>
      <c r="E42" s="83">
        <f>+'tab 14'!N42/1000</f>
        <v>5581.57</v>
      </c>
      <c r="F42" s="207">
        <v>1088.165</v>
      </c>
      <c r="G42" s="91" t="s">
        <v>266</v>
      </c>
      <c r="H42" s="189">
        <v>17.75</v>
      </c>
      <c r="I42" s="91" t="s">
        <v>266</v>
      </c>
    </row>
    <row r="43" spans="1:9">
      <c r="A43" s="129" t="s">
        <v>680</v>
      </c>
      <c r="B43" s="83">
        <f>+'tab 12'!N43</f>
        <v>1871.6</v>
      </c>
      <c r="C43" s="83">
        <f>+'tab 13'!N43</f>
        <v>1775.6</v>
      </c>
      <c r="D43" s="84">
        <f>+E43*1000/C43</f>
        <v>4007.3271006983555</v>
      </c>
      <c r="E43" s="83">
        <f>+'tab 14'!N43/1000</f>
        <v>7115.41</v>
      </c>
      <c r="F43" s="204">
        <v>1638.095</v>
      </c>
      <c r="G43" s="91" t="s">
        <v>266</v>
      </c>
      <c r="H43" s="189">
        <v>17.75</v>
      </c>
      <c r="I43" s="91" t="s">
        <v>266</v>
      </c>
    </row>
    <row r="44" spans="1:9">
      <c r="A44" s="136" t="s">
        <v>627</v>
      </c>
      <c r="B44" s="82">
        <f>+'tab 12'!N44</f>
        <v>1425.5</v>
      </c>
      <c r="C44" s="82">
        <f>+'tab 13'!N44</f>
        <v>1368.5</v>
      </c>
      <c r="D44" s="79">
        <f>+E44*1000/C44</f>
        <v>3990.9389842893679</v>
      </c>
      <c r="E44" s="82">
        <f>+'tab 14'!N44/1000</f>
        <v>5461.6</v>
      </c>
      <c r="F44" s="203">
        <v>1174.2439999999999</v>
      </c>
      <c r="G44" s="85" t="s">
        <v>266</v>
      </c>
      <c r="H44" s="190">
        <v>17.75</v>
      </c>
      <c r="I44" s="85" t="s">
        <v>266</v>
      </c>
    </row>
    <row r="45" spans="1:9">
      <c r="A45" s="107" t="s">
        <v>431</v>
      </c>
    </row>
    <row r="46" spans="1:9">
      <c r="A46" s="143" t="s">
        <v>432</v>
      </c>
    </row>
    <row r="47" spans="1:9">
      <c r="A47" s="107" t="s">
        <v>525</v>
      </c>
    </row>
    <row r="48" spans="1:9">
      <c r="A48" s="107" t="s">
        <v>526</v>
      </c>
    </row>
    <row r="49" spans="9:9" ht="10.199999999999999" customHeight="1">
      <c r="I49" s="270" t="s">
        <v>679</v>
      </c>
    </row>
  </sheetData>
  <phoneticPr fontId="0" type="noConversion"/>
  <pageMargins left="0.7" right="0.7" top="0.75" bottom="0.75" header="0.3" footer="0.3"/>
  <pageSetup scale="10" firstPageNumber="38" orientation="portrait" useFirstPageNumber="1" r:id="rId1"/>
  <headerFooter alignWithMargins="0">
    <oddFooter>&amp;C&amp;P
Oil Crops Yearbook/OCS-2018
March 2018
Economic Research Service, USDA</oddFooter>
  </headerFooter>
  <ignoredErrors>
    <ignoredError sqref="A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57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0.7109375" customWidth="1"/>
    <col min="2" max="2" width="8.7109375" customWidth="1"/>
    <col min="3" max="3" width="11" customWidth="1"/>
    <col min="4" max="4" width="8.140625" customWidth="1"/>
    <col min="5" max="5" width="9" customWidth="1"/>
    <col min="6" max="6" width="8.7109375" customWidth="1"/>
    <col min="7" max="7" width="10.7109375" customWidth="1"/>
    <col min="8" max="8" width="9.140625" customWidth="1"/>
    <col min="9" max="9" width="10.140625" customWidth="1"/>
    <col min="10" max="10" width="8" customWidth="1"/>
    <col min="11" max="11" width="13.85546875" customWidth="1"/>
    <col min="12" max="12" width="12.85546875" customWidth="1"/>
  </cols>
  <sheetData>
    <row r="1" spans="1:12">
      <c r="A1" s="114" t="s">
        <v>618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B2" s="403" t="s">
        <v>119</v>
      </c>
      <c r="C2" s="404"/>
      <c r="D2" s="404"/>
      <c r="E2" s="405"/>
      <c r="F2" s="403" t="s">
        <v>117</v>
      </c>
      <c r="G2" s="404"/>
      <c r="H2" s="404"/>
      <c r="I2" s="404"/>
      <c r="J2" s="405"/>
      <c r="K2" s="9" t="s">
        <v>118</v>
      </c>
      <c r="L2" s="7" t="s">
        <v>562</v>
      </c>
    </row>
    <row r="3" spans="1:12">
      <c r="A3" t="s">
        <v>107</v>
      </c>
      <c r="B3" s="363" t="s">
        <v>108</v>
      </c>
      <c r="E3" s="366"/>
      <c r="F3" s="370"/>
      <c r="I3" s="7" t="s">
        <v>101</v>
      </c>
      <c r="J3" s="366"/>
      <c r="K3" s="7" t="s">
        <v>560</v>
      </c>
      <c r="L3" s="7" t="s">
        <v>563</v>
      </c>
    </row>
    <row r="4" spans="1:12">
      <c r="A4" t="s">
        <v>100</v>
      </c>
      <c r="B4" s="364" t="s">
        <v>109</v>
      </c>
      <c r="C4" s="172" t="s">
        <v>66</v>
      </c>
      <c r="D4" s="172" t="s">
        <v>88</v>
      </c>
      <c r="E4" s="367" t="s">
        <v>3</v>
      </c>
      <c r="F4" s="380" t="s">
        <v>111</v>
      </c>
      <c r="G4" s="173" t="s">
        <v>90</v>
      </c>
      <c r="H4" s="7" t="s">
        <v>112</v>
      </c>
      <c r="I4" s="7" t="s">
        <v>103</v>
      </c>
      <c r="J4" s="381" t="s">
        <v>3</v>
      </c>
      <c r="K4" s="7" t="s">
        <v>114</v>
      </c>
      <c r="L4" s="7" t="s">
        <v>564</v>
      </c>
    </row>
    <row r="5" spans="1:12">
      <c r="A5" t="s">
        <v>102</v>
      </c>
      <c r="B5" s="364" t="s">
        <v>110</v>
      </c>
      <c r="C5" s="7"/>
      <c r="D5" s="7"/>
      <c r="E5" s="367"/>
      <c r="F5" s="364"/>
      <c r="G5" s="7"/>
      <c r="H5" s="7"/>
      <c r="I5" s="7" t="s">
        <v>113</v>
      </c>
      <c r="J5" s="367"/>
      <c r="K5" s="7" t="s">
        <v>115</v>
      </c>
      <c r="L5" s="7"/>
    </row>
    <row r="6" spans="1:12">
      <c r="A6" s="1" t="s">
        <v>104</v>
      </c>
      <c r="B6" s="371" t="s">
        <v>110</v>
      </c>
      <c r="C6" s="1"/>
      <c r="D6" s="1" t="s">
        <v>61</v>
      </c>
      <c r="E6" s="368" t="s">
        <v>61</v>
      </c>
      <c r="F6" s="371"/>
      <c r="G6" s="9"/>
      <c r="H6" s="9"/>
      <c r="I6" s="9" t="s">
        <v>105</v>
      </c>
      <c r="J6" s="369"/>
      <c r="K6" s="9" t="s">
        <v>116</v>
      </c>
      <c r="L6" s="9"/>
    </row>
    <row r="7" spans="1:12">
      <c r="C7" s="272"/>
      <c r="D7" s="272"/>
      <c r="E7" s="272"/>
      <c r="F7" s="272" t="s">
        <v>581</v>
      </c>
      <c r="G7" s="272"/>
      <c r="H7" s="272"/>
      <c r="I7" s="272"/>
      <c r="J7" s="272"/>
      <c r="K7" s="7" t="s">
        <v>145</v>
      </c>
      <c r="L7" s="2" t="s">
        <v>95</v>
      </c>
    </row>
    <row r="8" spans="1:12">
      <c r="B8" s="156"/>
      <c r="C8" s="156"/>
      <c r="D8" s="156"/>
      <c r="E8" s="156"/>
      <c r="F8" s="156"/>
      <c r="G8" s="156"/>
      <c r="H8" s="156"/>
      <c r="I8" s="156"/>
      <c r="J8" s="156"/>
      <c r="K8" s="2"/>
      <c r="L8" s="2"/>
    </row>
    <row r="9" spans="1:12">
      <c r="A9" s="10" t="s">
        <v>273</v>
      </c>
      <c r="B9" s="17">
        <v>628</v>
      </c>
      <c r="C9" s="17">
        <f>+'tab 10'!E6</f>
        <v>2309.3270000000002</v>
      </c>
      <c r="D9" s="17">
        <v>401</v>
      </c>
      <c r="E9" s="17">
        <f t="shared" ref="E9:E26" si="0">SUM(B9:D9)</f>
        <v>3338.3270000000002</v>
      </c>
      <c r="F9" s="110">
        <f>1.33*335.528</f>
        <v>446.25224000000003</v>
      </c>
      <c r="G9" s="17">
        <v>503</v>
      </c>
      <c r="H9" s="17">
        <v>1465</v>
      </c>
      <c r="I9" s="54">
        <f t="shared" ref="I9:I24" si="1">+J9-F9-G9-H9</f>
        <v>511.07476000000042</v>
      </c>
      <c r="J9" s="17">
        <f t="shared" ref="J9:J46" si="2">+E9-B10</f>
        <v>2925.3270000000002</v>
      </c>
      <c r="K9" s="179">
        <v>25.1</v>
      </c>
      <c r="L9" s="179">
        <f>+H9*0.7519/229.966</f>
        <v>4.789984171573189</v>
      </c>
    </row>
    <row r="10" spans="1:12">
      <c r="A10" s="10" t="s">
        <v>274</v>
      </c>
      <c r="B10" s="17">
        <v>413</v>
      </c>
      <c r="C10" s="17">
        <f>+'tab 10'!E7</f>
        <v>3981.85</v>
      </c>
      <c r="D10" s="17">
        <v>2</v>
      </c>
      <c r="E10" s="17">
        <f t="shared" si="0"/>
        <v>4396.8500000000004</v>
      </c>
      <c r="F10" s="110">
        <f>1.33*431.48</f>
        <v>573.86840000000007</v>
      </c>
      <c r="G10" s="17">
        <v>576</v>
      </c>
      <c r="H10" s="17">
        <v>1696</v>
      </c>
      <c r="I10" s="54">
        <f t="shared" si="1"/>
        <v>793.98160000000007</v>
      </c>
      <c r="J10" s="17">
        <f t="shared" si="2"/>
        <v>3639.8500000000004</v>
      </c>
      <c r="K10" s="179">
        <v>26.9</v>
      </c>
      <c r="L10" s="179">
        <f>+H10*0.7519/232.188</f>
        <v>5.4921977018622847</v>
      </c>
    </row>
    <row r="11" spans="1:12">
      <c r="A11" s="10" t="s">
        <v>275</v>
      </c>
      <c r="B11" s="17">
        <v>757</v>
      </c>
      <c r="C11" s="17">
        <f>+'tab 10'!E8</f>
        <v>3440.2550000000001</v>
      </c>
      <c r="D11" s="17">
        <v>2</v>
      </c>
      <c r="E11" s="17">
        <f t="shared" si="0"/>
        <v>4199.2550000000001</v>
      </c>
      <c r="F11" s="110">
        <f>1.33*256.436</f>
        <v>341.05987999999996</v>
      </c>
      <c r="G11" s="17">
        <v>681</v>
      </c>
      <c r="H11" s="17">
        <v>1849</v>
      </c>
      <c r="I11" s="54">
        <f t="shared" si="1"/>
        <v>464.19512000000032</v>
      </c>
      <c r="J11" s="17">
        <f t="shared" si="2"/>
        <v>3335.2550000000001</v>
      </c>
      <c r="K11" s="179">
        <v>25.1</v>
      </c>
      <c r="L11" s="179">
        <f>+H11*0.7519/234.307</f>
        <v>5.9335107359148473</v>
      </c>
    </row>
    <row r="12" spans="1:12">
      <c r="A12" s="10" t="s">
        <v>276</v>
      </c>
      <c r="B12" s="17">
        <v>864</v>
      </c>
      <c r="C12" s="17">
        <f>+'tab 10'!E9</f>
        <v>3295.53</v>
      </c>
      <c r="D12" s="17">
        <v>2</v>
      </c>
      <c r="E12" s="17">
        <f t="shared" si="0"/>
        <v>4161.5300000000007</v>
      </c>
      <c r="F12" s="110">
        <f>1.33*291.084</f>
        <v>387.14172000000002</v>
      </c>
      <c r="G12" s="17">
        <v>744</v>
      </c>
      <c r="H12" s="17">
        <v>1856</v>
      </c>
      <c r="I12" s="54">
        <f t="shared" si="1"/>
        <v>563.38828000000058</v>
      </c>
      <c r="J12" s="17">
        <f t="shared" si="2"/>
        <v>3550.5300000000007</v>
      </c>
      <c r="K12" s="179">
        <v>24.7</v>
      </c>
      <c r="L12" s="179">
        <f>+H12*0.7519/236.348</f>
        <v>5.9045407619273274</v>
      </c>
    </row>
    <row r="13" spans="1:12">
      <c r="A13" s="10" t="s">
        <v>277</v>
      </c>
      <c r="B13" s="17">
        <v>611</v>
      </c>
      <c r="C13" s="17">
        <f>+'tab 10'!E10</f>
        <v>4405.9449999999997</v>
      </c>
      <c r="D13" s="17">
        <v>2</v>
      </c>
      <c r="E13" s="17">
        <f t="shared" si="0"/>
        <v>5018.9449999999997</v>
      </c>
      <c r="F13" s="110">
        <f>1.33*470.264</f>
        <v>625.45112000000006</v>
      </c>
      <c r="G13" s="17">
        <v>860</v>
      </c>
      <c r="H13" s="17">
        <v>1911</v>
      </c>
      <c r="I13" s="54">
        <f t="shared" si="1"/>
        <v>198.49387999999954</v>
      </c>
      <c r="J13" s="17">
        <f t="shared" si="2"/>
        <v>3594.9449999999997</v>
      </c>
      <c r="K13" s="179">
        <v>27.9</v>
      </c>
      <c r="L13" s="179">
        <f>+H13*0.7519/238.466</f>
        <v>6.0255168451687036</v>
      </c>
    </row>
    <row r="14" spans="1:12">
      <c r="A14" s="10" t="s">
        <v>278</v>
      </c>
      <c r="B14" s="17">
        <v>1424</v>
      </c>
      <c r="C14" s="17">
        <f>+'tab 10'!E11</f>
        <v>4122.7870000000003</v>
      </c>
      <c r="D14" s="17">
        <v>2</v>
      </c>
      <c r="E14" s="17">
        <f t="shared" si="0"/>
        <v>5548.7870000000003</v>
      </c>
      <c r="F14" s="110">
        <f>1.33*610.897</f>
        <v>812.49301000000014</v>
      </c>
      <c r="G14" s="17">
        <v>1045.7</v>
      </c>
      <c r="H14" s="17">
        <v>2023</v>
      </c>
      <c r="I14" s="54">
        <f t="shared" si="1"/>
        <v>822.5939900000003</v>
      </c>
      <c r="J14" s="17">
        <f t="shared" si="2"/>
        <v>4703.7870000000003</v>
      </c>
      <c r="K14" s="179">
        <v>24.3</v>
      </c>
      <c r="L14" s="179">
        <f>+H14*0.7519/240.651</f>
        <v>6.3207453947833168</v>
      </c>
    </row>
    <row r="15" spans="1:12">
      <c r="A15" s="10" t="s">
        <v>279</v>
      </c>
      <c r="B15" s="17">
        <v>845</v>
      </c>
      <c r="C15" s="17">
        <f>+'tab 10'!E12</f>
        <v>3697.085</v>
      </c>
      <c r="D15" s="17">
        <v>2</v>
      </c>
      <c r="E15" s="17">
        <f t="shared" si="0"/>
        <v>4544.085</v>
      </c>
      <c r="F15" s="110">
        <f>1.33*386.388</f>
        <v>513.89603999999997</v>
      </c>
      <c r="G15" s="17">
        <v>664.86</v>
      </c>
      <c r="H15" s="17">
        <v>2073</v>
      </c>
      <c r="I15" s="54">
        <f t="shared" si="1"/>
        <v>289.32895999999982</v>
      </c>
      <c r="J15" s="17">
        <f t="shared" si="2"/>
        <v>3541.085</v>
      </c>
      <c r="K15" s="179">
        <v>29.2</v>
      </c>
      <c r="L15" s="179">
        <f>+H15*0.7519/242.804</f>
        <v>6.4195346864137326</v>
      </c>
    </row>
    <row r="16" spans="1:12">
      <c r="A16" s="10" t="s">
        <v>280</v>
      </c>
      <c r="B16" s="17">
        <v>1003</v>
      </c>
      <c r="C16" s="17">
        <f>+'tab 10'!E13</f>
        <v>3616.01</v>
      </c>
      <c r="D16" s="17">
        <f>784*1.33*2.2046*0.001</f>
        <v>2.2987805120000004</v>
      </c>
      <c r="E16" s="17">
        <f t="shared" si="0"/>
        <v>4621.3087805120003</v>
      </c>
      <c r="F16" s="110">
        <f>1.33*421.214</f>
        <v>560.21462000000008</v>
      </c>
      <c r="G16" s="17">
        <v>619.6</v>
      </c>
      <c r="H16" s="17">
        <v>2071.14</v>
      </c>
      <c r="I16" s="54">
        <f t="shared" si="1"/>
        <v>537.09616051200055</v>
      </c>
      <c r="J16" s="17">
        <f t="shared" si="2"/>
        <v>3788.0507805120005</v>
      </c>
      <c r="K16" s="179">
        <v>28</v>
      </c>
      <c r="L16" s="179">
        <f>+H16*0.7519/245.021</f>
        <v>6.3557416139841081</v>
      </c>
    </row>
    <row r="17" spans="1:12">
      <c r="A17" s="10" t="s">
        <v>281</v>
      </c>
      <c r="B17" s="17">
        <v>833.25800000000004</v>
      </c>
      <c r="C17" s="17">
        <f>+'tab 10'!E14</f>
        <v>3980.9169999999999</v>
      </c>
      <c r="D17" s="17">
        <f>877*1.33*2.2046*0.001</f>
        <v>2.5714674860000004</v>
      </c>
      <c r="E17" s="17">
        <f t="shared" si="0"/>
        <v>4816.7464674860003</v>
      </c>
      <c r="F17" s="111">
        <f>1.33*612.2</f>
        <v>814.22600000000011</v>
      </c>
      <c r="G17" s="17">
        <v>689.4</v>
      </c>
      <c r="H17" s="17">
        <v>2254.6909999999998</v>
      </c>
      <c r="I17" s="54">
        <f t="shared" si="1"/>
        <v>215.67846748600005</v>
      </c>
      <c r="J17" s="17">
        <f t="shared" si="2"/>
        <v>3973.9954674860001</v>
      </c>
      <c r="K17" s="179">
        <v>27.9</v>
      </c>
      <c r="L17" s="179">
        <f>+H17*0.7519/247.342</f>
        <v>6.8540812433796114</v>
      </c>
    </row>
    <row r="18" spans="1:12">
      <c r="A18" s="10" t="s">
        <v>9</v>
      </c>
      <c r="B18" s="17">
        <v>842.75099999999998</v>
      </c>
      <c r="C18" s="17">
        <f>+'tab 10'!E15</f>
        <v>3989.9949999999999</v>
      </c>
      <c r="D18" s="17">
        <f>1432*1.33*2.2046*0.001</f>
        <v>4.1987929760000009</v>
      </c>
      <c r="E18" s="17">
        <f t="shared" si="0"/>
        <v>4836.9447929759999</v>
      </c>
      <c r="F18" s="110">
        <f>1.33*469.351</f>
        <v>624.23683000000005</v>
      </c>
      <c r="G18" s="17">
        <v>990.46</v>
      </c>
      <c r="H18" s="17">
        <v>2312.4380000000001</v>
      </c>
      <c r="I18" s="54">
        <f t="shared" si="1"/>
        <v>208.80996297599995</v>
      </c>
      <c r="J18" s="17">
        <f t="shared" si="2"/>
        <v>4135.9447929759999</v>
      </c>
      <c r="K18" s="179">
        <v>28</v>
      </c>
      <c r="L18" s="179">
        <f>+H18*0.7519/250.132</f>
        <v>6.9512182855452318</v>
      </c>
    </row>
    <row r="19" spans="1:12">
      <c r="A19" s="10" t="s">
        <v>10</v>
      </c>
      <c r="B19" s="17">
        <v>701</v>
      </c>
      <c r="C19" s="17">
        <f>+'tab 10'!E16</f>
        <v>3603.65</v>
      </c>
      <c r="D19" s="17">
        <f>9335*1.33*2.2046*0.001</f>
        <v>27.371321530000007</v>
      </c>
      <c r="E19" s="17">
        <f t="shared" si="0"/>
        <v>4332.02132153</v>
      </c>
      <c r="F19" s="110">
        <f>1.33*517.712</f>
        <v>688.55696</v>
      </c>
      <c r="G19" s="17">
        <v>654.9</v>
      </c>
      <c r="H19" s="17">
        <v>2019.9680000000001</v>
      </c>
      <c r="I19" s="54">
        <f t="shared" si="1"/>
        <v>285.13636152999993</v>
      </c>
      <c r="J19" s="17">
        <f t="shared" si="2"/>
        <v>3648.56132153</v>
      </c>
      <c r="K19" s="179">
        <v>34.700000000000003</v>
      </c>
      <c r="L19" s="179">
        <f>+H19*0.7519/253.493</f>
        <v>5.9915419329133348</v>
      </c>
    </row>
    <row r="20" spans="1:12">
      <c r="A20" s="10" t="s">
        <v>11</v>
      </c>
      <c r="B20" s="17">
        <v>683.46</v>
      </c>
      <c r="C20" s="17">
        <f>+'tab 10'!E17</f>
        <v>4926.57</v>
      </c>
      <c r="D20" s="17">
        <f>1809*1.33*2.2046*0.001</f>
        <v>5.3042014620000009</v>
      </c>
      <c r="E20" s="17">
        <f t="shared" si="0"/>
        <v>5615.3342014619993</v>
      </c>
      <c r="F20" s="110">
        <f>1.33*828.986</f>
        <v>1102.5513800000001</v>
      </c>
      <c r="G20" s="17">
        <v>1001.8</v>
      </c>
      <c r="H20" s="17">
        <v>2207.2049999999999</v>
      </c>
      <c r="I20" s="54">
        <f t="shared" si="1"/>
        <v>248.77782146199934</v>
      </c>
      <c r="J20" s="17">
        <f t="shared" si="2"/>
        <v>4560.3342014619993</v>
      </c>
      <c r="K20" s="179">
        <v>28.3</v>
      </c>
      <c r="L20" s="179">
        <f>+H20*0.7519/256.894</f>
        <v>6.4602421212640238</v>
      </c>
    </row>
    <row r="21" spans="1:12">
      <c r="A21" s="10" t="s">
        <v>12</v>
      </c>
      <c r="B21" s="17">
        <v>1055</v>
      </c>
      <c r="C21" s="17">
        <f>+'tab 10'!E18</f>
        <v>4284.4160000000002</v>
      </c>
      <c r="D21" s="17">
        <f>645*1.33*2.2046*0.001</f>
        <v>1.89121611</v>
      </c>
      <c r="E21" s="17">
        <f t="shared" si="0"/>
        <v>5341.3072161099999</v>
      </c>
      <c r="F21" s="110">
        <f>1.33*669.942</f>
        <v>891.02286000000004</v>
      </c>
      <c r="G21" s="17">
        <v>951</v>
      </c>
      <c r="H21" s="17">
        <v>2121.8910000000001</v>
      </c>
      <c r="I21" s="54">
        <f t="shared" si="1"/>
        <v>27.297356109999782</v>
      </c>
      <c r="J21" s="17">
        <f t="shared" si="2"/>
        <v>3991.2112161099999</v>
      </c>
      <c r="K21" s="179">
        <v>30</v>
      </c>
      <c r="L21" s="179">
        <f>+H21*0.7519/260.255</f>
        <v>6.1303331075291547</v>
      </c>
    </row>
    <row r="22" spans="1:12">
      <c r="A22" s="10" t="s">
        <v>13</v>
      </c>
      <c r="B22" s="17">
        <v>1350.096</v>
      </c>
      <c r="C22" s="17">
        <f>+'tab 10'!E19</f>
        <v>3392.415</v>
      </c>
      <c r="D22" s="17">
        <f>1.42*1.33</f>
        <v>1.8886000000000001</v>
      </c>
      <c r="E22" s="17">
        <f t="shared" si="0"/>
        <v>4744.3996000000006</v>
      </c>
      <c r="F22" s="110">
        <f>1.33*503.674</f>
        <v>669.88642000000004</v>
      </c>
      <c r="G22" s="17">
        <v>532.54999999999995</v>
      </c>
      <c r="H22" s="17">
        <v>2088.0729999999999</v>
      </c>
      <c r="I22" s="54">
        <f t="shared" si="1"/>
        <v>392.92518000000064</v>
      </c>
      <c r="J22" s="17">
        <f t="shared" si="2"/>
        <v>3683.4346000000005</v>
      </c>
      <c r="K22" s="179">
        <v>30.4</v>
      </c>
      <c r="L22" s="179">
        <f>+H22*0.7519/263.436</f>
        <v>5.9597856356002969</v>
      </c>
    </row>
    <row r="23" spans="1:12">
      <c r="A23" s="10" t="s">
        <v>14</v>
      </c>
      <c r="B23" s="17">
        <v>1060.9649999999999</v>
      </c>
      <c r="C23" s="17">
        <f>+'tab 10'!E20</f>
        <v>4247.4549999999999</v>
      </c>
      <c r="D23" s="17">
        <f>55.385*1.33</f>
        <v>73.662050000000008</v>
      </c>
      <c r="E23" s="17">
        <f t="shared" si="0"/>
        <v>5382.08205</v>
      </c>
      <c r="F23" s="110">
        <f>1.33*738.221</f>
        <v>981.83393000000001</v>
      </c>
      <c r="G23" s="17">
        <v>878.1</v>
      </c>
      <c r="H23" s="17">
        <v>2009.231</v>
      </c>
      <c r="I23" s="54">
        <f t="shared" si="1"/>
        <v>315.09012000000007</v>
      </c>
      <c r="J23" s="17">
        <f t="shared" si="2"/>
        <v>4184.2550499999998</v>
      </c>
      <c r="K23" s="179">
        <v>28.9</v>
      </c>
      <c r="L23" s="179">
        <f>+H23*0.7519/266.557</f>
        <v>5.6676087624785696</v>
      </c>
    </row>
    <row r="24" spans="1:12">
      <c r="A24" s="10" t="s">
        <v>15</v>
      </c>
      <c r="B24" s="17">
        <v>1197.827</v>
      </c>
      <c r="C24" s="17">
        <f>+'tab 10'!E21</f>
        <v>3461.4749999999999</v>
      </c>
      <c r="D24" s="17">
        <f>114.788*1.33</f>
        <v>152.66803999999999</v>
      </c>
      <c r="E24" s="17">
        <f t="shared" si="0"/>
        <v>4811.9700399999992</v>
      </c>
      <c r="F24" s="110">
        <f>1.33*751.281</f>
        <v>999.20372999999995</v>
      </c>
      <c r="G24" s="17">
        <v>826</v>
      </c>
      <c r="H24" s="17">
        <v>1992.854</v>
      </c>
      <c r="I24" s="54">
        <f t="shared" si="1"/>
        <v>236.37030999999956</v>
      </c>
      <c r="J24" s="17">
        <f t="shared" si="2"/>
        <v>4054.4280399999993</v>
      </c>
      <c r="K24" s="179">
        <v>29.3</v>
      </c>
      <c r="L24" s="179">
        <f>+H24*0.7519/269.667</f>
        <v>5.5565824613319403</v>
      </c>
    </row>
    <row r="25" spans="1:12">
      <c r="A25" s="10" t="s">
        <v>16</v>
      </c>
      <c r="B25" s="17">
        <v>757.54200000000003</v>
      </c>
      <c r="C25" s="17">
        <f>+'tab 10'!E22</f>
        <v>3661.2049999999999</v>
      </c>
      <c r="D25" s="17">
        <v>126.74235</v>
      </c>
      <c r="E25" s="17">
        <f>SUM(B25:D25)</f>
        <v>4545.4893500000007</v>
      </c>
      <c r="F25" s="110">
        <f>1.33*520.413</f>
        <v>692.14929000000006</v>
      </c>
      <c r="G25" s="17">
        <v>668.48</v>
      </c>
      <c r="H25" s="17">
        <v>2029.4690000000001</v>
      </c>
      <c r="I25" s="54">
        <f t="shared" ref="I25:I33" si="3">+J25-F25-G25-H25</f>
        <v>360.76706000000058</v>
      </c>
      <c r="J25" s="17">
        <f t="shared" si="2"/>
        <v>3750.8653500000009</v>
      </c>
      <c r="K25" s="179">
        <v>28.1</v>
      </c>
      <c r="L25" s="179">
        <f>+H25*0.7519/272.912</f>
        <v>5.5913911484287979</v>
      </c>
    </row>
    <row r="26" spans="1:12">
      <c r="A26" s="10" t="s">
        <v>17</v>
      </c>
      <c r="B26" s="17">
        <v>794.62400000000002</v>
      </c>
      <c r="C26" s="17">
        <f>+'tab 10'!E23</f>
        <v>3539.38</v>
      </c>
      <c r="D26" s="17">
        <v>141.29300000000001</v>
      </c>
      <c r="E26" s="17">
        <f t="shared" si="0"/>
        <v>4475.2969999999996</v>
      </c>
      <c r="F26" s="110">
        <f>1.33*409.249</f>
        <v>544.30117000000007</v>
      </c>
      <c r="G26" s="17">
        <v>681.9</v>
      </c>
      <c r="H26" s="17">
        <v>2098.5039999999999</v>
      </c>
      <c r="I26" s="54">
        <f t="shared" si="3"/>
        <v>302.10682999999926</v>
      </c>
      <c r="J26" s="17">
        <f t="shared" si="2"/>
        <v>3626.8119999999994</v>
      </c>
      <c r="K26" s="179">
        <v>28.3</v>
      </c>
      <c r="L26" s="179">
        <f>+H26*0.7519/276.115</f>
        <v>5.7145216942216104</v>
      </c>
    </row>
    <row r="27" spans="1:12">
      <c r="A27" s="10" t="s">
        <v>18</v>
      </c>
      <c r="B27" s="17">
        <v>848.48500000000001</v>
      </c>
      <c r="C27" s="17">
        <f>+'tab 10'!E24</f>
        <v>3963.44</v>
      </c>
      <c r="D27" s="17">
        <f>52.909*1.333*2.204622</f>
        <v>155.48691241553402</v>
      </c>
      <c r="E27" s="17">
        <f t="shared" ref="E27:E33" si="4">SUM(B27:D27)</f>
        <v>4967.4119124155341</v>
      </c>
      <c r="F27" s="110">
        <f>1.33*345.825</f>
        <v>459.94725</v>
      </c>
      <c r="G27" s="17">
        <v>562.1</v>
      </c>
      <c r="H27" s="17">
        <v>2152.8000000000002</v>
      </c>
      <c r="I27" s="54">
        <f t="shared" si="3"/>
        <v>400.83966241553389</v>
      </c>
      <c r="J27" s="17">
        <f t="shared" si="2"/>
        <v>3575.6869124155342</v>
      </c>
      <c r="K27" s="179">
        <v>28.4</v>
      </c>
      <c r="L27" s="179">
        <f>+H27*0.7519/279.295</f>
        <v>5.7956294240856447</v>
      </c>
    </row>
    <row r="28" spans="1:12">
      <c r="A28" s="10" t="s">
        <v>19</v>
      </c>
      <c r="B28" s="17">
        <v>1391.7249999999999</v>
      </c>
      <c r="C28" s="17">
        <f>+'tab 10'!E25</f>
        <v>3829.49</v>
      </c>
      <c r="D28" s="17">
        <f>61.3085*1.333*2.204622</f>
        <v>180.17103649337102</v>
      </c>
      <c r="E28" s="17">
        <f t="shared" si="4"/>
        <v>5401.3860364933707</v>
      </c>
      <c r="F28" s="110">
        <f>1.33*536.164</f>
        <v>713.09811999999999</v>
      </c>
      <c r="G28" s="17">
        <v>742.6</v>
      </c>
      <c r="H28" s="17">
        <v>2233.3944012000002</v>
      </c>
      <c r="I28" s="54">
        <f t="shared" si="3"/>
        <v>478.87751529337038</v>
      </c>
      <c r="J28" s="17">
        <f t="shared" si="2"/>
        <v>4167.9700364933706</v>
      </c>
      <c r="K28" s="179">
        <v>25.4</v>
      </c>
      <c r="L28" s="179">
        <f>+H28*0.7519/282.385</f>
        <v>5.9468075509049001</v>
      </c>
    </row>
    <row r="29" spans="1:12">
      <c r="A29" s="62" t="s">
        <v>337</v>
      </c>
      <c r="B29" s="67">
        <v>1233.4159999999999</v>
      </c>
      <c r="C29" s="17">
        <f>+'tab 10'!E26</f>
        <v>3265.5050000000001</v>
      </c>
      <c r="D29" s="17">
        <f>73.373*1.333*2.204622</f>
        <v>215.62572009799803</v>
      </c>
      <c r="E29" s="67">
        <f t="shared" si="4"/>
        <v>4714.5467200979983</v>
      </c>
      <c r="F29" s="110">
        <f>1.33*411.558</f>
        <v>547.37214000000006</v>
      </c>
      <c r="G29" s="67">
        <v>527.20000000000005</v>
      </c>
      <c r="H29" s="67">
        <v>2183.6</v>
      </c>
      <c r="I29" s="54">
        <f t="shared" si="3"/>
        <v>359.8045800979985</v>
      </c>
      <c r="J29" s="17">
        <f t="shared" si="2"/>
        <v>3617.9767200979986</v>
      </c>
      <c r="K29" s="179">
        <v>27.4</v>
      </c>
      <c r="L29" s="179">
        <f>+H29*0.7519/285.309</f>
        <v>5.7546338881703685</v>
      </c>
    </row>
    <row r="30" spans="1:12">
      <c r="A30" s="62" t="s">
        <v>341</v>
      </c>
      <c r="B30" s="67">
        <v>1096.57</v>
      </c>
      <c r="C30" s="17">
        <f>+'tab 10'!E27</f>
        <v>4276.7039999999997</v>
      </c>
      <c r="D30" s="17">
        <f>1.333*2.204622*69.0115</f>
        <v>202.808313446949</v>
      </c>
      <c r="E30" s="67">
        <f t="shared" si="4"/>
        <v>5576.0823134469483</v>
      </c>
      <c r="F30" s="110">
        <f>1.33*521.173</f>
        <v>693.16009000000008</v>
      </c>
      <c r="G30" s="67">
        <v>699.7</v>
      </c>
      <c r="H30" s="67">
        <v>2225.1</v>
      </c>
      <c r="I30" s="54">
        <f t="shared" si="3"/>
        <v>481.71322344694863</v>
      </c>
      <c r="J30" s="17">
        <f t="shared" si="2"/>
        <v>4099.6733134469487</v>
      </c>
      <c r="K30" s="179">
        <v>23.4</v>
      </c>
      <c r="L30" s="179">
        <f>+H30*0.7519/288.105</f>
        <v>5.8070935596397142</v>
      </c>
    </row>
    <row r="31" spans="1:12">
      <c r="A31" s="62" t="s">
        <v>353</v>
      </c>
      <c r="B31" s="67">
        <v>1476.4090000000001</v>
      </c>
      <c r="C31" s="17">
        <f>+'tab 10'!E28</f>
        <v>3321.04</v>
      </c>
      <c r="D31" s="17">
        <f>1.333*2.204622*25.6475</f>
        <v>75.371875979085004</v>
      </c>
      <c r="E31" s="67">
        <f t="shared" si="4"/>
        <v>4872.8208759790859</v>
      </c>
      <c r="F31" s="110">
        <f>1.33*644.194</f>
        <v>856.77801999999997</v>
      </c>
      <c r="G31" s="67">
        <v>489.9</v>
      </c>
      <c r="H31" s="67">
        <v>2241.1999999999998</v>
      </c>
      <c r="I31" s="54">
        <f t="shared" si="3"/>
        <v>409.81985597908579</v>
      </c>
      <c r="J31" s="17">
        <f t="shared" si="2"/>
        <v>3997.6978759790859</v>
      </c>
      <c r="K31" s="179">
        <v>18.239999999999998</v>
      </c>
      <c r="L31" s="179">
        <f>+H31*0.7519/290.82</f>
        <v>5.7945061550099712</v>
      </c>
    </row>
    <row r="32" spans="1:12">
      <c r="A32" s="62" t="s">
        <v>364</v>
      </c>
      <c r="B32" s="110">
        <v>875.12300000000005</v>
      </c>
      <c r="C32" s="17">
        <f>+'tab 10'!E29</f>
        <v>4144.1499999999996</v>
      </c>
      <c r="D32" s="17">
        <f>1.333*2.204622*12.9604</f>
        <v>38.0875196974104</v>
      </c>
      <c r="E32" s="110">
        <f t="shared" si="4"/>
        <v>5057.3605196974095</v>
      </c>
      <c r="F32" s="110">
        <f>1.33*402.958</f>
        <v>535.93414000000007</v>
      </c>
      <c r="G32" s="110">
        <v>515.9</v>
      </c>
      <c r="H32" s="110">
        <v>2455.9</v>
      </c>
      <c r="I32" s="96">
        <f t="shared" si="3"/>
        <v>428.71037969740883</v>
      </c>
      <c r="J32" s="111">
        <f t="shared" si="2"/>
        <v>3936.4445196974093</v>
      </c>
      <c r="K32" s="179">
        <v>19.25</v>
      </c>
      <c r="L32" s="179">
        <f>+H32*0.7519/293.463</f>
        <v>6.2924157730276047</v>
      </c>
    </row>
    <row r="33" spans="1:12">
      <c r="A33" s="62" t="s">
        <v>366</v>
      </c>
      <c r="B33" s="110">
        <v>1120.9159999999999</v>
      </c>
      <c r="C33" s="17">
        <f>+'tab 10'!E30</f>
        <v>4288.2</v>
      </c>
      <c r="D33" s="17">
        <f>1.333*2.204622*12.5438</f>
        <v>36.863231812318801</v>
      </c>
      <c r="E33" s="110">
        <f t="shared" si="4"/>
        <v>5445.9792318123191</v>
      </c>
      <c r="F33" s="110">
        <f>1.33*295.769</f>
        <v>393.37277</v>
      </c>
      <c r="G33" s="110">
        <v>491</v>
      </c>
      <c r="H33" s="110">
        <v>2600</v>
      </c>
      <c r="I33" s="96">
        <f t="shared" si="3"/>
        <v>547.03146181231932</v>
      </c>
      <c r="J33" s="111">
        <f t="shared" si="2"/>
        <v>4031.4042318123193</v>
      </c>
      <c r="K33" s="179">
        <v>18.899999999999999</v>
      </c>
      <c r="L33" s="179">
        <f>+H33*0.7519/296.186</f>
        <v>6.600379491265624</v>
      </c>
    </row>
    <row r="34" spans="1:12">
      <c r="A34" s="62" t="s">
        <v>385</v>
      </c>
      <c r="B34" s="110">
        <v>1414.575</v>
      </c>
      <c r="C34" s="17">
        <f>+'tab 10'!E31</f>
        <v>4869.8599999999997</v>
      </c>
      <c r="D34" s="17">
        <f>1.333*2.204622*10.9229</f>
        <v>32.0997939031854</v>
      </c>
      <c r="E34" s="110">
        <f t="shared" ref="E34:E39" si="5">SUM(B34:D34)</f>
        <v>6316.5347939031853</v>
      </c>
      <c r="F34" s="110">
        <f>1.33*407.817</f>
        <v>542.39661000000001</v>
      </c>
      <c r="G34" s="110">
        <v>491</v>
      </c>
      <c r="H34" s="110">
        <v>2616</v>
      </c>
      <c r="I34" s="96">
        <f t="shared" ref="I34:I39" si="6">+J34-F34-G34-H34</f>
        <v>500.50818390318545</v>
      </c>
      <c r="J34" s="111">
        <f t="shared" si="2"/>
        <v>4149.9047939031852</v>
      </c>
      <c r="K34" s="179">
        <v>17.3</v>
      </c>
      <c r="L34" s="179">
        <f>+H34*0.7519/298.996</f>
        <v>6.5785843288873433</v>
      </c>
    </row>
    <row r="35" spans="1:12">
      <c r="A35" s="62" t="s">
        <v>400</v>
      </c>
      <c r="B35" s="110">
        <v>2166.63</v>
      </c>
      <c r="C35" s="17">
        <f>+'tab 10'!E32</f>
        <v>3464.25</v>
      </c>
      <c r="D35" s="111">
        <f>1.333*2.204622*20.7441</f>
        <v>60.961954673856603</v>
      </c>
      <c r="E35" s="110">
        <f t="shared" si="5"/>
        <v>5691.8419546738569</v>
      </c>
      <c r="F35" s="110">
        <f>1.33*385.375</f>
        <v>512.54875000000004</v>
      </c>
      <c r="G35" s="110">
        <f>1.333*2.204622*(207.4113-0.25*8.8906)</f>
        <v>603.00042811642004</v>
      </c>
      <c r="H35" s="110">
        <v>2585.4</v>
      </c>
      <c r="I35" s="96">
        <f t="shared" si="6"/>
        <v>470.77177655743662</v>
      </c>
      <c r="J35" s="111">
        <f t="shared" si="2"/>
        <v>4171.7209546738568</v>
      </c>
      <c r="K35" s="179">
        <v>17.7</v>
      </c>
      <c r="L35" s="179">
        <f>+H35*0.7519/302.004</f>
        <v>6.4368758691937851</v>
      </c>
    </row>
    <row r="36" spans="1:12">
      <c r="A36" s="62" t="s">
        <v>413</v>
      </c>
      <c r="B36" s="110">
        <v>1520.1210000000001</v>
      </c>
      <c r="C36" s="17">
        <f>+'tab 10'!E33</f>
        <v>3672.25</v>
      </c>
      <c r="D36" s="111">
        <f>1.333*2.204622*24.8198</f>
        <v>72.939463395094805</v>
      </c>
      <c r="E36" s="110">
        <f t="shared" si="5"/>
        <v>5265.3104633950952</v>
      </c>
      <c r="F36" s="110">
        <f>1.33*372.98</f>
        <v>496.06340000000006</v>
      </c>
      <c r="G36" s="110">
        <f>1.333*2.204622*(261.6465-0.25*25.5479)</f>
        <v>750.14676911122513</v>
      </c>
      <c r="H36" s="110">
        <v>2516.5300000000002</v>
      </c>
      <c r="I36" s="96">
        <f t="shared" si="6"/>
        <v>471.26329428386998</v>
      </c>
      <c r="J36" s="111">
        <f t="shared" si="2"/>
        <v>4234.0034633950954</v>
      </c>
      <c r="K36" s="179">
        <v>20.5</v>
      </c>
      <c r="L36" s="179">
        <f>+H36*0.7519/304.798</f>
        <v>6.2079767813437101</v>
      </c>
    </row>
    <row r="37" spans="1:12">
      <c r="A37" s="62" t="s">
        <v>411</v>
      </c>
      <c r="B37" s="110">
        <v>1031.307</v>
      </c>
      <c r="C37" s="17">
        <f>+'tab 10'!E34</f>
        <v>5162.3999999999996</v>
      </c>
      <c r="D37" s="111">
        <f>1.333*2.204622*29.1919</f>
        <v>85.788020914079411</v>
      </c>
      <c r="E37" s="110">
        <f t="shared" si="5"/>
        <v>6279.4950209140789</v>
      </c>
      <c r="F37" s="110">
        <f>1.33*334.296</f>
        <v>444.61367999999999</v>
      </c>
      <c r="G37" s="110">
        <f>1.333*2.204622*(254.8416-0.25*30.432)</f>
        <v>726.5604927210336</v>
      </c>
      <c r="H37" s="110">
        <v>2571.317</v>
      </c>
      <c r="I37" s="96">
        <f t="shared" si="6"/>
        <v>406.90384819304472</v>
      </c>
      <c r="J37" s="111">
        <f t="shared" si="2"/>
        <v>4149.3950209140785</v>
      </c>
      <c r="K37" s="179">
        <v>23</v>
      </c>
      <c r="L37" s="179">
        <f>+H37*0.7519/307.439</f>
        <v>6.2886401930138982</v>
      </c>
    </row>
    <row r="38" spans="1:12">
      <c r="A38" s="115" t="s">
        <v>417</v>
      </c>
      <c r="B38" s="110">
        <v>2130.1</v>
      </c>
      <c r="C38" s="17">
        <f>+'tab 10'!E35</f>
        <v>3691.65</v>
      </c>
      <c r="D38" s="111">
        <f>1.333*2.204622*24.4907</f>
        <v>71.972317108528202</v>
      </c>
      <c r="E38" s="110">
        <f t="shared" si="5"/>
        <v>5893.7223171085279</v>
      </c>
      <c r="F38" s="110">
        <f>1.33*326.779</f>
        <v>434.61607000000004</v>
      </c>
      <c r="G38" s="110">
        <f>1.333*2.204622*(207.8168-0.25*25.1427)</f>
        <v>592.25183582904674</v>
      </c>
      <c r="H38" s="110">
        <v>2674.875</v>
      </c>
      <c r="I38" s="96">
        <f t="shared" si="6"/>
        <v>363.23141127948111</v>
      </c>
      <c r="J38" s="111">
        <f t="shared" si="2"/>
        <v>4064.9743171085279</v>
      </c>
      <c r="K38" s="179">
        <v>21.7</v>
      </c>
      <c r="L38" s="179">
        <f>+H38*0.7519/309.348193</f>
        <v>6.5015363205952204</v>
      </c>
    </row>
    <row r="39" spans="1:12">
      <c r="A39" s="115" t="s">
        <v>420</v>
      </c>
      <c r="B39" s="110">
        <v>1828.748</v>
      </c>
      <c r="C39" s="17">
        <f>+'tab 10'!E36</f>
        <v>4156.84</v>
      </c>
      <c r="D39" s="111">
        <f>1.333*2.204622*21.9793</f>
        <v>64.591912416691798</v>
      </c>
      <c r="E39" s="110">
        <f t="shared" si="5"/>
        <v>6050.1799124166919</v>
      </c>
      <c r="F39" s="110">
        <f>1.33*441.017</f>
        <v>586.55261000000007</v>
      </c>
      <c r="G39" s="110">
        <f>1.3333*2.204622*(215.1149-0.25*35.6944)</f>
        <v>606.08334912226042</v>
      </c>
      <c r="H39" s="110">
        <v>2839.9</v>
      </c>
      <c r="I39" s="96">
        <f t="shared" si="6"/>
        <v>501.70495329443065</v>
      </c>
      <c r="J39" s="111">
        <f t="shared" si="2"/>
        <v>4534.2409124166916</v>
      </c>
      <c r="K39" s="179">
        <v>22.5</v>
      </c>
      <c r="L39" s="179">
        <f>+H39*0.7519/311.663358</f>
        <v>6.8513694510087388</v>
      </c>
    </row>
    <row r="40" spans="1:12">
      <c r="A40" s="115" t="s">
        <v>449</v>
      </c>
      <c r="B40" s="110">
        <v>1515.9390000000001</v>
      </c>
      <c r="C40" s="17">
        <f>+'tab 10'!E37</f>
        <v>3658.59</v>
      </c>
      <c r="D40" s="111">
        <f>1.333*2.204622*86.3958</f>
        <v>253.8966184896708</v>
      </c>
      <c r="E40" s="110">
        <f t="shared" ref="E40:E45" si="7">SUM(B40:D40)</f>
        <v>5428.4256184896713</v>
      </c>
      <c r="F40" s="110">
        <f>1.333*453.835</f>
        <v>604.96205499999996</v>
      </c>
      <c r="G40" s="110">
        <f>1.3333*2.204622*(193.39119-0.25*(16.8492+13.4595))</f>
        <v>546.18589884759399</v>
      </c>
      <c r="H40" s="110">
        <v>2805</v>
      </c>
      <c r="I40" s="96">
        <f t="shared" ref="I40:I45" si="8">+J40-F40-G40-H40</f>
        <v>468.94666464207694</v>
      </c>
      <c r="J40" s="111">
        <f t="shared" si="2"/>
        <v>4425.0946184896711</v>
      </c>
      <c r="K40" s="179">
        <v>31.8</v>
      </c>
      <c r="L40" s="179">
        <f>+H40*0.7519/313.998379</f>
        <v>6.7168483694624417</v>
      </c>
    </row>
    <row r="41" spans="1:12">
      <c r="A41" s="115" t="s">
        <v>438</v>
      </c>
      <c r="B41" s="110">
        <v>1003.331</v>
      </c>
      <c r="C41" s="17">
        <f>+'tab 10'!E38</f>
        <v>6753.88</v>
      </c>
      <c r="D41" s="111">
        <f>1.333*2.204622*40.4468</f>
        <v>118.86348351109682</v>
      </c>
      <c r="E41" s="110">
        <f t="shared" si="7"/>
        <v>7876.0744835110972</v>
      </c>
      <c r="F41" s="110">
        <f>1.333*493.205</f>
        <v>657.44226499999991</v>
      </c>
      <c r="G41" s="110">
        <f>1.3333*2.204622*(428.7709-0.25*(88.4582))</f>
        <v>1195.3348300817449</v>
      </c>
      <c r="H41" s="110">
        <v>2734.8359999999998</v>
      </c>
      <c r="I41" s="96">
        <f t="shared" si="8"/>
        <v>517.71238842935281</v>
      </c>
      <c r="J41" s="111">
        <f t="shared" si="2"/>
        <v>5105.3254835110974</v>
      </c>
      <c r="K41" s="179">
        <v>30.1</v>
      </c>
      <c r="L41" s="179">
        <f>+H41*0.7519/316.204908</f>
        <v>6.5031349494423401</v>
      </c>
    </row>
    <row r="42" spans="1:12">
      <c r="A42" s="115" t="s">
        <v>493</v>
      </c>
      <c r="B42" s="110">
        <v>2770.7489999999998</v>
      </c>
      <c r="C42" s="17">
        <f>+'tab 10'!E39</f>
        <v>4173.17</v>
      </c>
      <c r="D42" s="111">
        <f>1.333*2.204622*29.8644</f>
        <v>87.764337771314402</v>
      </c>
      <c r="E42" s="110">
        <f t="shared" si="7"/>
        <v>7031.6833377713147</v>
      </c>
      <c r="F42" s="110">
        <f>1.333*497.272</f>
        <v>662.86357599999997</v>
      </c>
      <c r="G42" s="110">
        <f>1.3333*2.204622*(389.1268-0.25*65.2604)</f>
        <v>1095.8511039406771</v>
      </c>
      <c r="H42" s="110">
        <v>2885.9</v>
      </c>
      <c r="I42" s="96">
        <f t="shared" si="8"/>
        <v>529.29165783063763</v>
      </c>
      <c r="J42" s="111">
        <f t="shared" si="2"/>
        <v>5173.9063377713146</v>
      </c>
      <c r="K42" s="179">
        <v>24.9</v>
      </c>
      <c r="L42" s="179">
        <f>+H42*0.7519/318.563456</f>
        <v>6.8115415284796512</v>
      </c>
    </row>
    <row r="43" spans="1:12">
      <c r="A43" s="115" t="s">
        <v>496</v>
      </c>
      <c r="B43" s="110">
        <v>1857.777</v>
      </c>
      <c r="C43" s="17">
        <f>+'tab 10'!E40</f>
        <v>5188.665</v>
      </c>
      <c r="D43" s="111">
        <f>1.333*2.204622*30.5055</f>
        <v>89.648377529193013</v>
      </c>
      <c r="E43" s="110">
        <f t="shared" si="7"/>
        <v>7136.0903775291927</v>
      </c>
      <c r="F43" s="110">
        <f>1.333*506.677</f>
        <v>675.400441</v>
      </c>
      <c r="G43" s="110">
        <f>1.3333*2.204622*(386.8707-0.25*76.6261)</f>
        <v>1080.867324197136</v>
      </c>
      <c r="H43" s="208">
        <v>2945.4870000000001</v>
      </c>
      <c r="I43" s="96">
        <f t="shared" si="8"/>
        <v>333.318612332057</v>
      </c>
      <c r="J43" s="111">
        <f t="shared" si="2"/>
        <v>5035.0733775291928</v>
      </c>
      <c r="K43" s="209">
        <v>22</v>
      </c>
      <c r="L43" s="209">
        <f>+H43*0.7519/320.896618</f>
        <v>6.9016360755163833</v>
      </c>
    </row>
    <row r="44" spans="1:12">
      <c r="A44" s="115" t="s">
        <v>505</v>
      </c>
      <c r="B44" s="110">
        <v>2101.0169999999998</v>
      </c>
      <c r="C44" s="17">
        <f>+'tab 10'!E41</f>
        <v>6001.357</v>
      </c>
      <c r="D44" s="111">
        <v>94.433562270658811</v>
      </c>
      <c r="E44" s="110">
        <f t="shared" si="7"/>
        <v>8196.8075622706583</v>
      </c>
      <c r="F44" s="110">
        <f>1.333*531.77</f>
        <v>708.84940999999992</v>
      </c>
      <c r="G44" s="110">
        <v>1544.4201332791811</v>
      </c>
      <c r="H44" s="208">
        <v>3144</v>
      </c>
      <c r="I44" s="96">
        <f t="shared" si="8"/>
        <v>1008.6330189914779</v>
      </c>
      <c r="J44" s="111">
        <f t="shared" si="2"/>
        <v>6405.9025622706586</v>
      </c>
      <c r="K44" s="209">
        <v>19.3</v>
      </c>
      <c r="L44" s="209">
        <v>7.3109885626471227</v>
      </c>
    </row>
    <row r="45" spans="1:12">
      <c r="A45" s="115" t="s">
        <v>498</v>
      </c>
      <c r="B45" s="110">
        <v>1790.905</v>
      </c>
      <c r="C45" s="17">
        <f>+'tab 10'!E42</f>
        <v>5581.57</v>
      </c>
      <c r="D45" s="250">
        <v>161.91809726367242</v>
      </c>
      <c r="E45" s="110">
        <f t="shared" si="7"/>
        <v>7534.3930972636717</v>
      </c>
      <c r="F45" s="110">
        <f>1.333*659.966</f>
        <v>879.73467800000003</v>
      </c>
      <c r="G45" s="208">
        <v>1327.4379157296373</v>
      </c>
      <c r="H45" s="208">
        <v>3092</v>
      </c>
      <c r="I45" s="96">
        <f t="shared" si="8"/>
        <v>793.62850353403428</v>
      </c>
      <c r="J45" s="111">
        <f t="shared" si="2"/>
        <v>6092.8010972636712</v>
      </c>
      <c r="K45" s="209">
        <v>19.7</v>
      </c>
      <c r="L45" s="209">
        <v>7.1458947397895924</v>
      </c>
    </row>
    <row r="46" spans="1:12">
      <c r="A46" s="129" t="s">
        <v>636</v>
      </c>
      <c r="B46" s="208">
        <v>1441.5920000000001</v>
      </c>
      <c r="C46" s="67">
        <f>+'tab 10'!E43</f>
        <v>7115.41</v>
      </c>
      <c r="D46" s="208">
        <v>171.4417404447006</v>
      </c>
      <c r="E46" s="110">
        <f>SUM(B46:D46)</f>
        <v>8728.4437404447017</v>
      </c>
      <c r="F46" s="208">
        <v>704.82375000000002</v>
      </c>
      <c r="G46" s="208">
        <v>1272.7104981354823</v>
      </c>
      <c r="H46" s="208">
        <v>3149</v>
      </c>
      <c r="I46" s="96">
        <f>+J46-F46-G46-H46</f>
        <v>884.82949230921986</v>
      </c>
      <c r="J46" s="110">
        <f t="shared" si="2"/>
        <v>6011.3637404447018</v>
      </c>
      <c r="K46" s="334">
        <v>22.9</v>
      </c>
      <c r="L46" s="335">
        <v>7.2776269520043417</v>
      </c>
    </row>
    <row r="47" spans="1:12">
      <c r="A47" s="136" t="s">
        <v>628</v>
      </c>
      <c r="B47" s="249">
        <v>2717.08</v>
      </c>
      <c r="C47" s="18">
        <f>+'tab 10'!E44</f>
        <v>5461.6</v>
      </c>
      <c r="D47" s="249">
        <v>75</v>
      </c>
      <c r="E47" s="113">
        <f>SUM(B47:D47)</f>
        <v>8253.68</v>
      </c>
      <c r="F47" s="249">
        <v>690</v>
      </c>
      <c r="G47" s="249">
        <v>1250</v>
      </c>
      <c r="H47" s="249">
        <v>3108</v>
      </c>
      <c r="I47" s="98">
        <f>+J47-F47-G47-H47</f>
        <v>823.68000000000029</v>
      </c>
      <c r="J47" s="113">
        <f>+E47-2382</f>
        <v>5871.68</v>
      </c>
      <c r="K47" s="315" t="s">
        <v>660</v>
      </c>
      <c r="L47" s="237">
        <v>7.1828722028674168</v>
      </c>
    </row>
    <row r="48" spans="1:12" ht="13.2" customHeight="1">
      <c r="A48" s="143" t="s">
        <v>433</v>
      </c>
    </row>
    <row r="49" spans="1:12" ht="13.2" customHeight="1">
      <c r="A49" s="107" t="s">
        <v>527</v>
      </c>
    </row>
    <row r="50" spans="1:12" ht="13.2" customHeight="1">
      <c r="A50" s="153" t="s">
        <v>528</v>
      </c>
    </row>
    <row r="51" spans="1:12" ht="13.2" customHeight="1">
      <c r="J51" s="270"/>
      <c r="K51" s="270"/>
      <c r="L51" s="270" t="s">
        <v>679</v>
      </c>
    </row>
    <row r="52" spans="1:12">
      <c r="F52" s="110"/>
    </row>
    <row r="53" spans="1:12">
      <c r="F53" s="110"/>
    </row>
    <row r="54" spans="1:12">
      <c r="F54" s="110"/>
    </row>
    <row r="55" spans="1:12">
      <c r="F55" s="110"/>
    </row>
    <row r="56" spans="1:12">
      <c r="F56" s="110"/>
    </row>
    <row r="57" spans="1:12">
      <c r="F57" s="110"/>
    </row>
  </sheetData>
  <mergeCells count="2">
    <mergeCell ref="B2:E2"/>
    <mergeCell ref="F2:J2"/>
  </mergeCells>
  <phoneticPr fontId="0" type="noConversion"/>
  <pageMargins left="0.7" right="0.7" top="0.75" bottom="0.75" header="0.3" footer="0.3"/>
  <pageSetup scale="92" firstPageNumber="39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7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7.42578125" customWidth="1"/>
    <col min="2" max="14" width="8.85546875" customWidth="1"/>
  </cols>
  <sheetData>
    <row r="1" spans="1:15">
      <c r="A1" s="114" t="s">
        <v>619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61</v>
      </c>
      <c r="M1" s="1"/>
      <c r="N1" s="1" t="s">
        <v>61</v>
      </c>
    </row>
    <row r="2" spans="1:15">
      <c r="A2" t="s">
        <v>120</v>
      </c>
      <c r="B2" s="383"/>
      <c r="C2" s="283"/>
      <c r="D2" s="271" t="s">
        <v>127</v>
      </c>
      <c r="E2" s="271"/>
      <c r="F2" s="382"/>
      <c r="G2" s="279"/>
      <c r="H2" s="187" t="s">
        <v>126</v>
      </c>
      <c r="I2" s="279"/>
      <c r="J2" s="382"/>
      <c r="K2" s="403" t="s">
        <v>125</v>
      </c>
      <c r="L2" s="404"/>
      <c r="M2" s="405"/>
      <c r="N2" s="7" t="s">
        <v>137</v>
      </c>
    </row>
    <row r="3" spans="1:15">
      <c r="A3" s="1" t="s">
        <v>121</v>
      </c>
      <c r="B3" s="371" t="s">
        <v>128</v>
      </c>
      <c r="C3" s="9" t="s">
        <v>129</v>
      </c>
      <c r="D3" s="9" t="s">
        <v>130</v>
      </c>
      <c r="E3" s="9" t="s">
        <v>131</v>
      </c>
      <c r="F3" s="369" t="s">
        <v>176</v>
      </c>
      <c r="G3" s="9" t="s">
        <v>132</v>
      </c>
      <c r="H3" s="9" t="s">
        <v>133</v>
      </c>
      <c r="I3" s="9" t="s">
        <v>134</v>
      </c>
      <c r="J3" s="369" t="s">
        <v>503</v>
      </c>
      <c r="K3" s="9" t="s">
        <v>135</v>
      </c>
      <c r="L3" s="9" t="s">
        <v>136</v>
      </c>
      <c r="M3" s="369" t="s">
        <v>3</v>
      </c>
      <c r="N3" s="9" t="s">
        <v>138</v>
      </c>
    </row>
    <row r="4" spans="1:15">
      <c r="A4" t="s">
        <v>61</v>
      </c>
      <c r="C4" s="268"/>
      <c r="D4" s="268"/>
      <c r="E4" s="268"/>
      <c r="F4" s="268"/>
      <c r="G4" s="268"/>
      <c r="H4" s="268" t="s">
        <v>124</v>
      </c>
      <c r="I4" s="268"/>
      <c r="J4" s="268"/>
      <c r="K4" s="268"/>
      <c r="L4" s="268"/>
      <c r="M4" s="268"/>
      <c r="N4" s="268"/>
    </row>
    <row r="5" spans="1: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>
      <c r="A6" t="s">
        <v>42</v>
      </c>
      <c r="B6" s="25">
        <v>209</v>
      </c>
      <c r="C6" s="25">
        <v>65</v>
      </c>
      <c r="D6" s="25">
        <v>530</v>
      </c>
      <c r="E6" s="25">
        <v>15</v>
      </c>
      <c r="F6" s="25">
        <f>SUM(B6:E6)+7.5</f>
        <v>826.5</v>
      </c>
      <c r="G6" s="25">
        <v>123</v>
      </c>
      <c r="H6" s="25">
        <v>290</v>
      </c>
      <c r="I6" s="25">
        <v>8.9</v>
      </c>
      <c r="J6" s="25">
        <v>421.9</v>
      </c>
      <c r="K6" s="25">
        <v>104</v>
      </c>
      <c r="L6" s="25">
        <v>169</v>
      </c>
      <c r="M6" s="25">
        <f>SUM(K6:L6)</f>
        <v>273</v>
      </c>
      <c r="N6" s="26">
        <v>1521.4</v>
      </c>
      <c r="O6" s="60"/>
    </row>
    <row r="7" spans="1:15">
      <c r="A7" t="s">
        <v>43</v>
      </c>
      <c r="B7" s="25">
        <v>224</v>
      </c>
      <c r="C7" s="25">
        <v>69</v>
      </c>
      <c r="D7" s="25">
        <v>570</v>
      </c>
      <c r="E7" s="25">
        <v>15</v>
      </c>
      <c r="F7" s="25">
        <f>SUM(B7:E7)+7</f>
        <v>885</v>
      </c>
      <c r="G7" s="25">
        <v>95</v>
      </c>
      <c r="H7" s="25">
        <v>244</v>
      </c>
      <c r="I7" s="25">
        <v>10</v>
      </c>
      <c r="J7" s="25">
        <v>349</v>
      </c>
      <c r="K7" s="25">
        <v>105</v>
      </c>
      <c r="L7" s="25">
        <v>175</v>
      </c>
      <c r="M7" s="25">
        <f t="shared" ref="M7:M28" si="0">SUM(K7:L7)</f>
        <v>280</v>
      </c>
      <c r="N7" s="26">
        <v>1514</v>
      </c>
      <c r="O7" s="60"/>
    </row>
    <row r="8" spans="1:15">
      <c r="A8" t="s">
        <v>44</v>
      </c>
      <c r="B8" s="25">
        <v>179</v>
      </c>
      <c r="C8" s="25">
        <v>59</v>
      </c>
      <c r="D8" s="25">
        <v>475</v>
      </c>
      <c r="E8" s="25">
        <v>12</v>
      </c>
      <c r="F8" s="25">
        <f t="shared" ref="F8:F28" si="1">SUM(B8:E8)</f>
        <v>725</v>
      </c>
      <c r="G8" s="25">
        <v>88</v>
      </c>
      <c r="H8" s="25">
        <v>240</v>
      </c>
      <c r="I8" s="25">
        <v>10.4</v>
      </c>
      <c r="J8" s="25">
        <v>338.4</v>
      </c>
      <c r="K8" s="25">
        <v>96</v>
      </c>
      <c r="L8" s="25">
        <v>152</v>
      </c>
      <c r="M8" s="25">
        <f t="shared" si="0"/>
        <v>248</v>
      </c>
      <c r="N8" s="26">
        <v>1311.4</v>
      </c>
      <c r="O8" s="60"/>
    </row>
    <row r="9" spans="1:15">
      <c r="A9" t="s">
        <v>45</v>
      </c>
      <c r="B9" s="25">
        <v>182</v>
      </c>
      <c r="C9" s="25">
        <v>69</v>
      </c>
      <c r="D9" s="25">
        <v>567</v>
      </c>
      <c r="E9" s="25">
        <v>13</v>
      </c>
      <c r="F9" s="25">
        <f t="shared" si="1"/>
        <v>831</v>
      </c>
      <c r="G9" s="25">
        <v>93</v>
      </c>
      <c r="H9" s="25">
        <v>230</v>
      </c>
      <c r="I9" s="25">
        <v>11</v>
      </c>
      <c r="J9" s="25">
        <v>334</v>
      </c>
      <c r="K9" s="25">
        <v>96</v>
      </c>
      <c r="L9" s="25">
        <v>150</v>
      </c>
      <c r="M9" s="25">
        <f t="shared" si="0"/>
        <v>246</v>
      </c>
      <c r="N9" s="26">
        <v>1411</v>
      </c>
      <c r="O9" s="60"/>
    </row>
    <row r="10" spans="1:15">
      <c r="A10" t="s">
        <v>46</v>
      </c>
      <c r="B10" s="25">
        <v>221</v>
      </c>
      <c r="C10" s="25">
        <v>85</v>
      </c>
      <c r="D10" s="25">
        <v>643</v>
      </c>
      <c r="E10" s="25">
        <v>15</v>
      </c>
      <c r="F10" s="25">
        <f t="shared" si="1"/>
        <v>964</v>
      </c>
      <c r="G10" s="25">
        <v>93</v>
      </c>
      <c r="H10" s="25">
        <v>232</v>
      </c>
      <c r="I10" s="25">
        <v>14.6</v>
      </c>
      <c r="J10" s="25">
        <v>339.6</v>
      </c>
      <c r="K10" s="25">
        <v>98</v>
      </c>
      <c r="L10" s="25">
        <v>157</v>
      </c>
      <c r="M10" s="25">
        <f t="shared" si="0"/>
        <v>255</v>
      </c>
      <c r="N10" s="26">
        <v>1558.6</v>
      </c>
      <c r="O10" s="60"/>
    </row>
    <row r="11" spans="1:15">
      <c r="A11" t="s">
        <v>47</v>
      </c>
      <c r="B11" s="25">
        <v>201</v>
      </c>
      <c r="C11" s="25">
        <v>80</v>
      </c>
      <c r="D11" s="25">
        <v>595</v>
      </c>
      <c r="E11" s="25">
        <v>12</v>
      </c>
      <c r="F11" s="25">
        <f t="shared" si="1"/>
        <v>888</v>
      </c>
      <c r="G11" s="25">
        <v>87</v>
      </c>
      <c r="H11" s="25">
        <v>252</v>
      </c>
      <c r="I11" s="25">
        <v>12.4</v>
      </c>
      <c r="J11" s="25">
        <v>351.4</v>
      </c>
      <c r="K11" s="25">
        <v>96</v>
      </c>
      <c r="L11" s="25">
        <v>155</v>
      </c>
      <c r="M11" s="25">
        <f t="shared" si="0"/>
        <v>251</v>
      </c>
      <c r="N11" s="26">
        <v>1490.4</v>
      </c>
      <c r="O11" s="60"/>
    </row>
    <row r="12" spans="1:15">
      <c r="A12" t="s">
        <v>48</v>
      </c>
      <c r="B12" s="25">
        <v>220</v>
      </c>
      <c r="C12" s="25">
        <v>94</v>
      </c>
      <c r="D12" s="25">
        <v>675</v>
      </c>
      <c r="E12" s="25">
        <v>12</v>
      </c>
      <c r="F12" s="25">
        <f t="shared" si="1"/>
        <v>1001</v>
      </c>
      <c r="G12" s="25">
        <v>92</v>
      </c>
      <c r="H12" s="25">
        <v>225</v>
      </c>
      <c r="I12" s="25">
        <v>12.7</v>
      </c>
      <c r="J12" s="25">
        <v>329.7</v>
      </c>
      <c r="K12" s="25">
        <v>89</v>
      </c>
      <c r="L12" s="25">
        <v>145</v>
      </c>
      <c r="M12" s="25">
        <f t="shared" si="0"/>
        <v>234</v>
      </c>
      <c r="N12" s="26">
        <v>1564.7</v>
      </c>
      <c r="O12" s="60"/>
    </row>
    <row r="13" spans="1:15">
      <c r="A13" t="s">
        <v>49</v>
      </c>
      <c r="B13" s="25">
        <v>221</v>
      </c>
      <c r="C13" s="25">
        <v>91</v>
      </c>
      <c r="D13" s="25">
        <v>635</v>
      </c>
      <c r="E13" s="25">
        <v>13</v>
      </c>
      <c r="F13" s="25">
        <f t="shared" si="1"/>
        <v>960</v>
      </c>
      <c r="G13" s="25">
        <v>100</v>
      </c>
      <c r="H13" s="25">
        <v>254</v>
      </c>
      <c r="I13" s="25">
        <v>12.4</v>
      </c>
      <c r="J13" s="25">
        <v>366.4</v>
      </c>
      <c r="K13" s="25">
        <v>91</v>
      </c>
      <c r="L13" s="25">
        <v>150</v>
      </c>
      <c r="M13" s="25">
        <f t="shared" si="0"/>
        <v>241</v>
      </c>
      <c r="N13" s="26">
        <v>1567.4</v>
      </c>
      <c r="O13" s="60"/>
    </row>
    <row r="14" spans="1:15">
      <c r="A14" t="s">
        <v>50</v>
      </c>
      <c r="B14" s="25">
        <v>237</v>
      </c>
      <c r="C14" s="25">
        <v>98</v>
      </c>
      <c r="D14" s="25">
        <v>690</v>
      </c>
      <c r="E14" s="25">
        <v>13</v>
      </c>
      <c r="F14" s="25">
        <f t="shared" si="1"/>
        <v>1038</v>
      </c>
      <c r="G14" s="25">
        <v>99</v>
      </c>
      <c r="H14" s="25">
        <v>260</v>
      </c>
      <c r="I14" s="25">
        <v>13.4</v>
      </c>
      <c r="J14" s="25">
        <v>372.4</v>
      </c>
      <c r="K14" s="25">
        <v>92</v>
      </c>
      <c r="L14" s="25">
        <v>155</v>
      </c>
      <c r="M14" s="25">
        <f t="shared" si="0"/>
        <v>247</v>
      </c>
      <c r="N14" s="26">
        <v>1657.4</v>
      </c>
      <c r="O14" s="60"/>
    </row>
    <row r="15" spans="1:15">
      <c r="A15" t="s">
        <v>51</v>
      </c>
      <c r="B15" s="25">
        <v>240</v>
      </c>
      <c r="C15" s="25">
        <v>95</v>
      </c>
      <c r="D15" s="25">
        <v>690</v>
      </c>
      <c r="E15" s="25">
        <v>13</v>
      </c>
      <c r="F15" s="25">
        <f t="shared" si="1"/>
        <v>1038</v>
      </c>
      <c r="G15" s="25">
        <v>99</v>
      </c>
      <c r="H15" s="25">
        <v>265</v>
      </c>
      <c r="I15" s="25">
        <v>18.2</v>
      </c>
      <c r="J15" s="25">
        <v>382.2</v>
      </c>
      <c r="K15" s="25">
        <v>92</v>
      </c>
      <c r="L15" s="25">
        <v>153</v>
      </c>
      <c r="M15" s="25">
        <f t="shared" si="0"/>
        <v>245</v>
      </c>
      <c r="N15" s="26">
        <v>1665.2</v>
      </c>
      <c r="O15" s="60"/>
    </row>
    <row r="16" spans="1:15">
      <c r="A16" t="s">
        <v>52</v>
      </c>
      <c r="B16" s="25">
        <v>258</v>
      </c>
      <c r="C16" s="25">
        <v>108</v>
      </c>
      <c r="D16" s="25">
        <v>782</v>
      </c>
      <c r="E16" s="25">
        <v>14</v>
      </c>
      <c r="F16" s="25">
        <f t="shared" si="1"/>
        <v>1162</v>
      </c>
      <c r="G16" s="25">
        <v>107</v>
      </c>
      <c r="H16" s="25">
        <v>295</v>
      </c>
      <c r="I16" s="25">
        <v>20</v>
      </c>
      <c r="J16" s="25">
        <v>422</v>
      </c>
      <c r="K16" s="25">
        <v>97</v>
      </c>
      <c r="L16" s="25">
        <v>165</v>
      </c>
      <c r="M16" s="25">
        <f t="shared" si="0"/>
        <v>262</v>
      </c>
      <c r="N16" s="26">
        <v>1846</v>
      </c>
      <c r="O16" s="60"/>
    </row>
    <row r="17" spans="1:15">
      <c r="A17" t="s">
        <v>53</v>
      </c>
      <c r="B17" s="25">
        <v>278</v>
      </c>
      <c r="C17" s="25">
        <v>126</v>
      </c>
      <c r="D17" s="25">
        <v>900</v>
      </c>
      <c r="E17" s="25">
        <v>14.5</v>
      </c>
      <c r="F17" s="25">
        <f t="shared" si="1"/>
        <v>1318.5</v>
      </c>
      <c r="G17" s="25">
        <v>110</v>
      </c>
      <c r="H17" s="25">
        <v>330</v>
      </c>
      <c r="I17" s="25">
        <v>22.7</v>
      </c>
      <c r="J17" s="25">
        <v>462.7</v>
      </c>
      <c r="K17" s="25">
        <v>96</v>
      </c>
      <c r="L17" s="25">
        <v>162</v>
      </c>
      <c r="M17" s="25">
        <f t="shared" si="0"/>
        <v>258</v>
      </c>
      <c r="N17" s="26">
        <v>2039.2</v>
      </c>
      <c r="O17" s="60"/>
    </row>
    <row r="18" spans="1:15">
      <c r="A18" t="s">
        <v>74</v>
      </c>
      <c r="B18" s="25">
        <v>237</v>
      </c>
      <c r="C18" s="25">
        <v>85</v>
      </c>
      <c r="D18" s="25">
        <v>675</v>
      </c>
      <c r="E18" s="25">
        <v>13.5</v>
      </c>
      <c r="F18" s="25">
        <f t="shared" si="1"/>
        <v>1010.5</v>
      </c>
      <c r="G18" s="25">
        <v>100</v>
      </c>
      <c r="H18" s="25">
        <v>308</v>
      </c>
      <c r="I18" s="25">
        <v>21.1</v>
      </c>
      <c r="J18" s="25">
        <v>429.1</v>
      </c>
      <c r="K18" s="25">
        <v>94</v>
      </c>
      <c r="L18" s="25">
        <v>153</v>
      </c>
      <c r="M18" s="25">
        <f t="shared" si="0"/>
        <v>247</v>
      </c>
      <c r="N18" s="26">
        <v>1686.6</v>
      </c>
      <c r="O18" s="60"/>
    </row>
    <row r="19" spans="1:15">
      <c r="A19" t="s">
        <v>55</v>
      </c>
      <c r="B19" s="25">
        <v>240</v>
      </c>
      <c r="C19" s="25">
        <v>98</v>
      </c>
      <c r="D19" s="25">
        <v>702</v>
      </c>
      <c r="E19" s="25">
        <v>14.5</v>
      </c>
      <c r="F19" s="25">
        <f t="shared" si="1"/>
        <v>1054.5</v>
      </c>
      <c r="G19" s="25">
        <v>105</v>
      </c>
      <c r="H19" s="25">
        <v>305</v>
      </c>
      <c r="I19" s="25">
        <v>22</v>
      </c>
      <c r="J19" s="25">
        <v>432</v>
      </c>
      <c r="K19" s="25">
        <v>95</v>
      </c>
      <c r="L19" s="25">
        <v>152</v>
      </c>
      <c r="M19" s="25">
        <f t="shared" si="0"/>
        <v>247</v>
      </c>
      <c r="N19" s="26">
        <v>1733.5</v>
      </c>
      <c r="O19" s="60"/>
    </row>
    <row r="20" spans="1:15">
      <c r="A20" t="s">
        <v>56</v>
      </c>
      <c r="B20" s="25">
        <v>223</v>
      </c>
      <c r="C20" s="25">
        <v>92</v>
      </c>
      <c r="D20" s="25">
        <v>652</v>
      </c>
      <c r="E20" s="25">
        <v>13</v>
      </c>
      <c r="F20" s="25">
        <f t="shared" si="1"/>
        <v>980</v>
      </c>
      <c r="G20" s="25">
        <v>102</v>
      </c>
      <c r="H20" s="25">
        <v>295</v>
      </c>
      <c r="I20" s="25">
        <v>21</v>
      </c>
      <c r="J20" s="25">
        <v>418</v>
      </c>
      <c r="K20" s="25">
        <v>92</v>
      </c>
      <c r="L20" s="25">
        <v>151</v>
      </c>
      <c r="M20" s="25">
        <f t="shared" si="0"/>
        <v>243</v>
      </c>
      <c r="N20" s="26">
        <v>1641</v>
      </c>
      <c r="O20" s="60"/>
    </row>
    <row r="21" spans="1:15">
      <c r="A21" t="s">
        <v>57</v>
      </c>
      <c r="B21" s="25">
        <v>213</v>
      </c>
      <c r="C21" s="25">
        <v>89</v>
      </c>
      <c r="D21" s="25">
        <v>595</v>
      </c>
      <c r="E21" s="25">
        <v>11.5</v>
      </c>
      <c r="F21" s="25">
        <f t="shared" si="1"/>
        <v>908.5</v>
      </c>
      <c r="G21" s="25">
        <v>100</v>
      </c>
      <c r="H21" s="25">
        <v>275</v>
      </c>
      <c r="I21" s="25">
        <v>20</v>
      </c>
      <c r="J21" s="25">
        <v>395</v>
      </c>
      <c r="K21" s="25">
        <v>90</v>
      </c>
      <c r="L21" s="25">
        <v>144</v>
      </c>
      <c r="M21" s="25">
        <f t="shared" si="0"/>
        <v>234</v>
      </c>
      <c r="N21" s="26">
        <v>1537.5</v>
      </c>
      <c r="O21" s="60"/>
    </row>
    <row r="22" spans="1:15">
      <c r="A22" t="s">
        <v>75</v>
      </c>
      <c r="B22" s="25">
        <v>192</v>
      </c>
      <c r="C22" s="25">
        <v>90</v>
      </c>
      <c r="D22" s="25">
        <v>535</v>
      </c>
      <c r="E22" s="25">
        <v>11</v>
      </c>
      <c r="F22" s="25">
        <f t="shared" si="1"/>
        <v>828</v>
      </c>
      <c r="G22" s="25">
        <v>85</v>
      </c>
      <c r="H22" s="25">
        <v>270</v>
      </c>
      <c r="I22" s="25">
        <v>16.5</v>
      </c>
      <c r="J22" s="25">
        <v>371.5</v>
      </c>
      <c r="K22" s="25">
        <v>77</v>
      </c>
      <c r="L22" s="25">
        <v>125</v>
      </c>
      <c r="M22" s="25">
        <f t="shared" si="0"/>
        <v>202</v>
      </c>
      <c r="N22" s="26">
        <v>1401.5</v>
      </c>
      <c r="O22" s="60"/>
    </row>
    <row r="23" spans="1:15">
      <c r="A23" t="s">
        <v>59</v>
      </c>
      <c r="B23" s="25">
        <v>194</v>
      </c>
      <c r="C23" s="25">
        <v>92</v>
      </c>
      <c r="D23" s="25">
        <v>520</v>
      </c>
      <c r="E23" s="25">
        <v>11</v>
      </c>
      <c r="F23" s="25">
        <f t="shared" si="1"/>
        <v>817</v>
      </c>
      <c r="G23" s="25">
        <v>79</v>
      </c>
      <c r="H23" s="25">
        <v>320</v>
      </c>
      <c r="I23" s="25">
        <v>18</v>
      </c>
      <c r="J23" s="25">
        <v>417</v>
      </c>
      <c r="K23" s="25">
        <v>76</v>
      </c>
      <c r="L23" s="25">
        <v>124</v>
      </c>
      <c r="M23" s="25">
        <f t="shared" si="0"/>
        <v>200</v>
      </c>
      <c r="N23" s="26">
        <v>1434</v>
      </c>
      <c r="O23" s="60"/>
    </row>
    <row r="24" spans="1:15">
      <c r="A24" t="s">
        <v>122</v>
      </c>
      <c r="B24" s="25">
        <v>198</v>
      </c>
      <c r="C24" s="25">
        <v>98</v>
      </c>
      <c r="D24" s="25">
        <v>540</v>
      </c>
      <c r="E24" s="25">
        <v>12</v>
      </c>
      <c r="F24" s="25">
        <f t="shared" si="1"/>
        <v>848</v>
      </c>
      <c r="G24" s="25">
        <v>80</v>
      </c>
      <c r="H24" s="25">
        <v>370</v>
      </c>
      <c r="I24" s="25">
        <v>22</v>
      </c>
      <c r="J24" s="25">
        <v>472</v>
      </c>
      <c r="K24" s="25">
        <v>76</v>
      </c>
      <c r="L24" s="25">
        <v>125</v>
      </c>
      <c r="M24" s="25">
        <f t="shared" si="0"/>
        <v>201</v>
      </c>
      <c r="N24" s="26">
        <v>1521</v>
      </c>
      <c r="O24" s="60"/>
    </row>
    <row r="25" spans="1:15">
      <c r="A25" t="s">
        <v>123</v>
      </c>
      <c r="B25" s="25">
        <v>207</v>
      </c>
      <c r="C25" s="25">
        <v>102</v>
      </c>
      <c r="D25" s="25">
        <v>546</v>
      </c>
      <c r="E25" s="25">
        <v>11.5</v>
      </c>
      <c r="F25" s="25">
        <f t="shared" si="1"/>
        <v>866.5</v>
      </c>
      <c r="G25" s="25">
        <v>83</v>
      </c>
      <c r="H25" s="25">
        <v>360</v>
      </c>
      <c r="I25" s="25">
        <v>22</v>
      </c>
      <c r="J25" s="25">
        <v>465</v>
      </c>
      <c r="K25" s="25">
        <v>77</v>
      </c>
      <c r="L25" s="25">
        <v>126</v>
      </c>
      <c r="M25" s="25">
        <f t="shared" si="0"/>
        <v>203</v>
      </c>
      <c r="N25" s="26">
        <v>1534.5</v>
      </c>
      <c r="O25" s="60"/>
    </row>
    <row r="26" spans="1:15">
      <c r="A26" t="s">
        <v>344</v>
      </c>
      <c r="B26" s="68">
        <v>190</v>
      </c>
      <c r="C26" s="68">
        <v>94</v>
      </c>
      <c r="D26" s="68">
        <v>494</v>
      </c>
      <c r="E26" s="68">
        <v>10.5</v>
      </c>
      <c r="F26" s="68">
        <f t="shared" si="1"/>
        <v>788.5</v>
      </c>
      <c r="G26" s="68">
        <v>97</v>
      </c>
      <c r="H26" s="80">
        <v>425</v>
      </c>
      <c r="I26" s="68">
        <v>27.3</v>
      </c>
      <c r="J26" s="68">
        <v>549.29999999999995</v>
      </c>
      <c r="K26" s="68">
        <v>76</v>
      </c>
      <c r="L26" s="80">
        <v>123</v>
      </c>
      <c r="M26" s="68">
        <f t="shared" si="0"/>
        <v>199</v>
      </c>
      <c r="N26" s="69">
        <v>1536.8</v>
      </c>
      <c r="O26" s="60"/>
    </row>
    <row r="27" spans="1:15">
      <c r="A27" t="s">
        <v>587</v>
      </c>
      <c r="B27" s="68">
        <v>200</v>
      </c>
      <c r="C27" s="68">
        <v>90</v>
      </c>
      <c r="D27" s="68">
        <v>515</v>
      </c>
      <c r="E27" s="68">
        <v>11</v>
      </c>
      <c r="F27" s="68">
        <f t="shared" si="1"/>
        <v>816</v>
      </c>
      <c r="G27" s="68">
        <v>80</v>
      </c>
      <c r="H27" s="80">
        <v>425</v>
      </c>
      <c r="I27" s="68">
        <v>22.2</v>
      </c>
      <c r="J27" s="68">
        <v>527.20000000000005</v>
      </c>
      <c r="K27" s="68">
        <v>75</v>
      </c>
      <c r="L27" s="80">
        <v>123</v>
      </c>
      <c r="M27" s="68">
        <f>SUM(K27:L27)</f>
        <v>198</v>
      </c>
      <c r="N27" s="69">
        <v>1541.2</v>
      </c>
      <c r="O27" s="60"/>
    </row>
    <row r="28" spans="1:15">
      <c r="A28" t="s">
        <v>588</v>
      </c>
      <c r="B28" s="112">
        <v>185</v>
      </c>
      <c r="C28" s="112">
        <v>96</v>
      </c>
      <c r="D28" s="112">
        <v>510</v>
      </c>
      <c r="E28" s="112">
        <v>10</v>
      </c>
      <c r="F28" s="112">
        <f t="shared" si="1"/>
        <v>801</v>
      </c>
      <c r="G28" s="112">
        <v>60</v>
      </c>
      <c r="H28" s="117">
        <v>315</v>
      </c>
      <c r="I28" s="112">
        <v>18</v>
      </c>
      <c r="J28" s="112">
        <v>393</v>
      </c>
      <c r="K28" s="112">
        <v>58</v>
      </c>
      <c r="L28" s="117">
        <v>101</v>
      </c>
      <c r="M28" s="68">
        <f t="shared" si="0"/>
        <v>159</v>
      </c>
      <c r="N28" s="116">
        <f t="shared" ref="N28:N44" si="2">+F28+J28+M28</f>
        <v>1353</v>
      </c>
      <c r="O28" s="60"/>
    </row>
    <row r="29" spans="1:15">
      <c r="A29" t="s">
        <v>589</v>
      </c>
      <c r="B29" s="112">
        <v>190</v>
      </c>
      <c r="C29" s="112">
        <v>125</v>
      </c>
      <c r="D29" s="112">
        <v>545</v>
      </c>
      <c r="E29" s="112">
        <v>19</v>
      </c>
      <c r="F29" s="112">
        <f>SUM(B29:E29)</f>
        <v>879</v>
      </c>
      <c r="G29" s="112">
        <v>37</v>
      </c>
      <c r="H29" s="117">
        <v>275</v>
      </c>
      <c r="I29" s="112">
        <v>18</v>
      </c>
      <c r="J29" s="112">
        <v>330</v>
      </c>
      <c r="K29" s="112">
        <v>34</v>
      </c>
      <c r="L29" s="117">
        <v>101</v>
      </c>
      <c r="M29" s="112">
        <f>SUM(K29:L29)</f>
        <v>135</v>
      </c>
      <c r="N29" s="116">
        <f t="shared" si="2"/>
        <v>1344</v>
      </c>
      <c r="O29" s="60"/>
    </row>
    <row r="30" spans="1:15">
      <c r="A30" t="s">
        <v>386</v>
      </c>
      <c r="B30" s="112">
        <v>200</v>
      </c>
      <c r="C30" s="112">
        <v>145</v>
      </c>
      <c r="D30" s="112">
        <v>620</v>
      </c>
      <c r="E30" s="112">
        <v>35</v>
      </c>
      <c r="F30" s="112">
        <f>SUM(B30:E30)</f>
        <v>1000</v>
      </c>
      <c r="G30" s="112">
        <v>35</v>
      </c>
      <c r="H30" s="117">
        <v>240</v>
      </c>
      <c r="I30" s="112">
        <v>17</v>
      </c>
      <c r="J30" s="112">
        <v>292</v>
      </c>
      <c r="K30" s="112">
        <v>33</v>
      </c>
      <c r="L30" s="117">
        <v>105</v>
      </c>
      <c r="M30" s="112">
        <f>SUM(K30:L30)</f>
        <v>138</v>
      </c>
      <c r="N30" s="116">
        <f t="shared" si="2"/>
        <v>1430</v>
      </c>
      <c r="O30" s="60"/>
    </row>
    <row r="31" spans="1:15">
      <c r="A31" t="s">
        <v>590</v>
      </c>
      <c r="B31" s="112">
        <v>225</v>
      </c>
      <c r="C31" s="112">
        <v>160</v>
      </c>
      <c r="D31" s="112">
        <v>755</v>
      </c>
      <c r="E31" s="112">
        <v>63</v>
      </c>
      <c r="F31" s="112">
        <f>SUM(B31:E31)+15</f>
        <v>1218</v>
      </c>
      <c r="G31" s="112">
        <v>35</v>
      </c>
      <c r="H31" s="117">
        <v>265</v>
      </c>
      <c r="I31" s="112">
        <v>19</v>
      </c>
      <c r="J31" s="112">
        <v>319</v>
      </c>
      <c r="K31" s="112">
        <v>23</v>
      </c>
      <c r="L31" s="117">
        <v>97</v>
      </c>
      <c r="M31" s="112">
        <f>SUM(K31:L31)</f>
        <v>120</v>
      </c>
      <c r="N31" s="116">
        <f t="shared" si="2"/>
        <v>1657</v>
      </c>
      <c r="O31" s="60"/>
    </row>
    <row r="32" spans="1:15">
      <c r="A32" t="s">
        <v>591</v>
      </c>
      <c r="B32" s="112">
        <v>165</v>
      </c>
      <c r="C32" s="112">
        <v>130</v>
      </c>
      <c r="D32" s="112">
        <v>580</v>
      </c>
      <c r="E32" s="112">
        <v>59</v>
      </c>
      <c r="F32" s="112">
        <f>SUM(B32:E32)+17</f>
        <v>951</v>
      </c>
      <c r="G32" s="112">
        <v>23</v>
      </c>
      <c r="H32" s="117">
        <v>155</v>
      </c>
      <c r="I32" s="112">
        <v>12</v>
      </c>
      <c r="J32" s="112">
        <v>190</v>
      </c>
      <c r="K32" s="112">
        <v>17</v>
      </c>
      <c r="L32" s="117">
        <v>85</v>
      </c>
      <c r="M32" s="112">
        <f>+K32+L32</f>
        <v>102</v>
      </c>
      <c r="N32" s="116">
        <f t="shared" si="2"/>
        <v>1243</v>
      </c>
      <c r="O32" s="60"/>
    </row>
    <row r="33" spans="1:16">
      <c r="A33" t="s">
        <v>592</v>
      </c>
      <c r="B33" s="112">
        <v>160</v>
      </c>
      <c r="C33" s="112">
        <v>130</v>
      </c>
      <c r="D33" s="112">
        <v>530</v>
      </c>
      <c r="E33" s="112">
        <v>59</v>
      </c>
      <c r="F33" s="112">
        <f>SUM(B33:E33)+19</f>
        <v>898</v>
      </c>
      <c r="G33" s="112">
        <v>18</v>
      </c>
      <c r="H33" s="117">
        <v>190</v>
      </c>
      <c r="I33" s="112">
        <v>10</v>
      </c>
      <c r="J33" s="112">
        <v>218</v>
      </c>
      <c r="K33" s="112">
        <v>22</v>
      </c>
      <c r="L33" s="117">
        <v>92</v>
      </c>
      <c r="M33" s="112">
        <f>+K33+L33</f>
        <v>114</v>
      </c>
      <c r="N33" s="116">
        <f t="shared" si="2"/>
        <v>1230</v>
      </c>
      <c r="O33" s="60"/>
    </row>
    <row r="34" spans="1:16">
      <c r="A34" t="s">
        <v>593</v>
      </c>
      <c r="B34" s="112">
        <v>195</v>
      </c>
      <c r="C34" s="112">
        <v>150</v>
      </c>
      <c r="D34" s="112">
        <v>690</v>
      </c>
      <c r="E34" s="112">
        <v>71</v>
      </c>
      <c r="F34" s="112">
        <f>SUM(B34:E34)+22</f>
        <v>1128</v>
      </c>
      <c r="G34" s="112">
        <v>19</v>
      </c>
      <c r="H34" s="117">
        <v>257</v>
      </c>
      <c r="I34" s="112">
        <v>8</v>
      </c>
      <c r="J34" s="112">
        <v>284</v>
      </c>
      <c r="K34" s="112">
        <v>24</v>
      </c>
      <c r="L34" s="117">
        <v>98</v>
      </c>
      <c r="M34" s="112">
        <f>+K34+L34</f>
        <v>122</v>
      </c>
      <c r="N34" s="116">
        <f t="shared" si="2"/>
        <v>1534</v>
      </c>
      <c r="O34" s="60"/>
    </row>
    <row r="35" spans="1:16">
      <c r="A35" t="s">
        <v>594</v>
      </c>
      <c r="B35" s="112">
        <v>155</v>
      </c>
      <c r="C35" s="112">
        <v>115</v>
      </c>
      <c r="D35" s="112">
        <v>510</v>
      </c>
      <c r="E35" s="112">
        <v>50</v>
      </c>
      <c r="F35" s="112">
        <f>SUM(B35:E35)+21</f>
        <v>851</v>
      </c>
      <c r="G35" s="112">
        <v>14</v>
      </c>
      <c r="H35" s="117">
        <v>165</v>
      </c>
      <c r="I35" s="112">
        <v>7</v>
      </c>
      <c r="J35" s="112">
        <v>186</v>
      </c>
      <c r="K35" s="112">
        <v>12</v>
      </c>
      <c r="L35" s="117">
        <v>67</v>
      </c>
      <c r="M35" s="112">
        <f>+K35+L35</f>
        <v>79</v>
      </c>
      <c r="N35" s="116">
        <f t="shared" si="2"/>
        <v>1116</v>
      </c>
      <c r="O35" s="60"/>
    </row>
    <row r="36" spans="1:16">
      <c r="A36" t="s">
        <v>595</v>
      </c>
      <c r="B36" s="112">
        <v>190</v>
      </c>
      <c r="C36" s="112">
        <v>145</v>
      </c>
      <c r="D36" s="112">
        <v>565</v>
      </c>
      <c r="E36" s="112">
        <v>67</v>
      </c>
      <c r="F36" s="112">
        <f>SUM(B36:E36)+19</f>
        <v>986</v>
      </c>
      <c r="G36" s="112">
        <v>22</v>
      </c>
      <c r="H36" s="117">
        <v>165</v>
      </c>
      <c r="I36" s="112">
        <v>10</v>
      </c>
      <c r="J36" s="112">
        <v>197</v>
      </c>
      <c r="K36" s="112">
        <v>18</v>
      </c>
      <c r="L36" s="117">
        <v>87</v>
      </c>
      <c r="M36" s="112">
        <f t="shared" ref="M36:M41" si="3">SUM(K36:L36)</f>
        <v>105</v>
      </c>
      <c r="N36" s="116">
        <f t="shared" si="2"/>
        <v>1288</v>
      </c>
      <c r="O36" s="60"/>
    </row>
    <row r="37" spans="1:16">
      <c r="A37" t="s">
        <v>596</v>
      </c>
      <c r="B37" s="112">
        <v>170</v>
      </c>
      <c r="C37" s="112">
        <v>170</v>
      </c>
      <c r="D37" s="112">
        <v>475</v>
      </c>
      <c r="E37" s="112">
        <v>77</v>
      </c>
      <c r="F37" s="112">
        <f>SUM(B37:E37)+15</f>
        <v>907</v>
      </c>
      <c r="G37" s="112">
        <v>24</v>
      </c>
      <c r="H37" s="117">
        <v>105</v>
      </c>
      <c r="I37" s="112">
        <v>6.6</v>
      </c>
      <c r="J37" s="112">
        <v>135.6</v>
      </c>
      <c r="K37" s="112">
        <v>16</v>
      </c>
      <c r="L37" s="117">
        <v>82</v>
      </c>
      <c r="M37" s="112">
        <f t="shared" si="3"/>
        <v>98</v>
      </c>
      <c r="N37" s="116">
        <f t="shared" si="2"/>
        <v>1140.5999999999999</v>
      </c>
      <c r="O37" s="60"/>
    </row>
    <row r="38" spans="1:16">
      <c r="A38" t="s">
        <v>597</v>
      </c>
      <c r="B38" s="112">
        <v>220</v>
      </c>
      <c r="C38" s="112">
        <v>210</v>
      </c>
      <c r="D38" s="112">
        <v>735</v>
      </c>
      <c r="E38" s="112">
        <v>110</v>
      </c>
      <c r="F38" s="112">
        <f>SUM(B38:E38)+52</f>
        <v>1327</v>
      </c>
      <c r="G38" s="112">
        <v>24</v>
      </c>
      <c r="H38" s="117">
        <v>150</v>
      </c>
      <c r="I38" s="112">
        <v>10</v>
      </c>
      <c r="J38" s="112">
        <v>184</v>
      </c>
      <c r="K38" s="112">
        <v>20</v>
      </c>
      <c r="L38" s="117">
        <v>107</v>
      </c>
      <c r="M38" s="112">
        <f t="shared" si="3"/>
        <v>127</v>
      </c>
      <c r="N38" s="116">
        <f t="shared" si="2"/>
        <v>1638</v>
      </c>
      <c r="O38" s="60"/>
    </row>
    <row r="39" spans="1:16">
      <c r="A39" t="s">
        <v>598</v>
      </c>
      <c r="B39" s="112">
        <v>140</v>
      </c>
      <c r="C39" s="112">
        <v>140</v>
      </c>
      <c r="D39" s="112">
        <v>430</v>
      </c>
      <c r="E39" s="112">
        <v>81</v>
      </c>
      <c r="F39" s="112">
        <f>SUM(B39:E39)+34</f>
        <v>825</v>
      </c>
      <c r="G39" s="112">
        <v>17</v>
      </c>
      <c r="H39" s="117">
        <v>120</v>
      </c>
      <c r="I39" s="112">
        <v>7</v>
      </c>
      <c r="J39" s="112">
        <v>144</v>
      </c>
      <c r="K39" s="112">
        <v>16</v>
      </c>
      <c r="L39" s="117">
        <v>82</v>
      </c>
      <c r="M39" s="112">
        <f t="shared" si="3"/>
        <v>98</v>
      </c>
      <c r="N39" s="116">
        <f t="shared" si="2"/>
        <v>1067</v>
      </c>
      <c r="O39" s="60"/>
    </row>
    <row r="40" spans="1:16">
      <c r="A40" t="s">
        <v>599</v>
      </c>
      <c r="B40" s="112">
        <v>175</v>
      </c>
      <c r="C40" s="112">
        <v>175</v>
      </c>
      <c r="D40" s="112">
        <v>600</v>
      </c>
      <c r="E40" s="112">
        <v>112</v>
      </c>
      <c r="F40" s="112">
        <f>SUM(B40:E40)+32</f>
        <v>1094</v>
      </c>
      <c r="G40" s="112">
        <v>12</v>
      </c>
      <c r="H40" s="117">
        <v>130</v>
      </c>
      <c r="I40" s="112">
        <v>4.5</v>
      </c>
      <c r="J40" s="112">
        <v>146.5</v>
      </c>
      <c r="K40" s="112">
        <v>19</v>
      </c>
      <c r="L40" s="117">
        <v>94</v>
      </c>
      <c r="M40" s="112">
        <f t="shared" si="3"/>
        <v>113</v>
      </c>
      <c r="N40" s="116">
        <f t="shared" si="2"/>
        <v>1353.5</v>
      </c>
      <c r="O40" s="60"/>
    </row>
    <row r="41" spans="1:16">
      <c r="A41" t="s">
        <v>600</v>
      </c>
      <c r="B41" s="112">
        <v>200</v>
      </c>
      <c r="C41" s="112">
        <v>190</v>
      </c>
      <c r="D41" s="112">
        <v>785</v>
      </c>
      <c r="E41" s="112">
        <v>112</v>
      </c>
      <c r="F41" s="112">
        <f>SUM(B41:E41)+44</f>
        <v>1331</v>
      </c>
      <c r="G41" s="112">
        <v>10</v>
      </c>
      <c r="H41" s="117">
        <v>170</v>
      </c>
      <c r="I41" s="112">
        <v>5</v>
      </c>
      <c r="J41" s="112">
        <v>185</v>
      </c>
      <c r="K41" s="112">
        <v>19</v>
      </c>
      <c r="L41" s="117">
        <v>90</v>
      </c>
      <c r="M41" s="112">
        <f t="shared" si="3"/>
        <v>109</v>
      </c>
      <c r="N41" s="116">
        <f t="shared" si="2"/>
        <v>1625</v>
      </c>
      <c r="O41" s="60"/>
    </row>
    <row r="42" spans="1:16">
      <c r="A42" t="s">
        <v>601</v>
      </c>
      <c r="B42" s="112">
        <v>175</v>
      </c>
      <c r="C42" s="112">
        <v>155</v>
      </c>
      <c r="D42" s="112">
        <v>720</v>
      </c>
      <c r="E42" s="112">
        <v>110</v>
      </c>
      <c r="F42" s="112">
        <f>SUM(B42:E42)+39</f>
        <v>1199</v>
      </c>
      <c r="G42" s="112">
        <v>13</v>
      </c>
      <c r="H42" s="117">
        <v>305</v>
      </c>
      <c r="I42" s="112">
        <v>8</v>
      </c>
      <c r="J42" s="112">
        <v>350</v>
      </c>
      <c r="K42" s="112">
        <v>21</v>
      </c>
      <c r="L42" s="117">
        <v>101</v>
      </c>
      <c r="M42" s="112">
        <f>SUM(K42:L42)</f>
        <v>122</v>
      </c>
      <c r="N42" s="116">
        <f t="shared" si="2"/>
        <v>1671</v>
      </c>
      <c r="O42" s="60"/>
    </row>
    <row r="43" spans="1:16">
      <c r="A43" s="115">
        <v>2017</v>
      </c>
      <c r="B43" s="117">
        <v>195</v>
      </c>
      <c r="C43" s="117">
        <v>195</v>
      </c>
      <c r="D43" s="117">
        <v>835</v>
      </c>
      <c r="E43" s="117">
        <v>122</v>
      </c>
      <c r="F43" s="117">
        <f>SUM(B43:E43)+44</f>
        <v>1391</v>
      </c>
      <c r="G43" s="117">
        <v>22</v>
      </c>
      <c r="H43" s="117">
        <v>275</v>
      </c>
      <c r="I43" s="117">
        <v>7.6</v>
      </c>
      <c r="J43" s="117">
        <v>334.6</v>
      </c>
      <c r="K43" s="117">
        <v>27</v>
      </c>
      <c r="L43" s="117">
        <v>119</v>
      </c>
      <c r="M43" s="117">
        <v>146</v>
      </c>
      <c r="N43" s="210">
        <f t="shared" si="2"/>
        <v>1871.6</v>
      </c>
      <c r="O43" s="60"/>
    </row>
    <row r="44" spans="1:16">
      <c r="A44" s="118">
        <v>2018</v>
      </c>
      <c r="B44" s="251">
        <v>165</v>
      </c>
      <c r="C44" s="251">
        <v>155</v>
      </c>
      <c r="D44" s="251">
        <v>665</v>
      </c>
      <c r="E44" s="251">
        <v>87</v>
      </c>
      <c r="F44" s="251">
        <f>SUM(B44:E44)+25</f>
        <v>1097</v>
      </c>
      <c r="G44" s="251">
        <v>16</v>
      </c>
      <c r="H44" s="251">
        <v>155</v>
      </c>
      <c r="I44" s="251">
        <v>5.5</v>
      </c>
      <c r="J44" s="251">
        <v>202.5</v>
      </c>
      <c r="K44" s="251">
        <v>24</v>
      </c>
      <c r="L44" s="251">
        <v>102</v>
      </c>
      <c r="M44" s="251">
        <v>126</v>
      </c>
      <c r="N44" s="252">
        <f t="shared" si="2"/>
        <v>1425.5</v>
      </c>
      <c r="O44" s="60"/>
    </row>
    <row r="45" spans="1:16">
      <c r="A45" s="129" t="s">
        <v>504</v>
      </c>
      <c r="B45" s="112"/>
      <c r="C45" s="112"/>
      <c r="D45" s="112"/>
      <c r="E45" s="112"/>
      <c r="F45" s="120"/>
      <c r="G45" s="112"/>
      <c r="H45" s="112"/>
      <c r="I45" s="112"/>
      <c r="J45" s="112"/>
      <c r="K45" s="112"/>
      <c r="L45" s="112"/>
      <c r="M45" s="112"/>
      <c r="N45" s="120"/>
      <c r="O45" s="26"/>
    </row>
    <row r="46" spans="1:16" ht="13.2" customHeight="1">
      <c r="A46" s="107" t="s">
        <v>529</v>
      </c>
      <c r="O46" s="160"/>
      <c r="P46" s="160"/>
    </row>
    <row r="47" spans="1:16">
      <c r="L47" s="269"/>
      <c r="M47" s="269"/>
      <c r="N47" s="269" t="s">
        <v>679</v>
      </c>
    </row>
  </sheetData>
  <mergeCells count="1">
    <mergeCell ref="K2:M2"/>
  </mergeCells>
  <phoneticPr fontId="0" type="noConversion"/>
  <pageMargins left="0.7" right="0.7" top="0.75" bottom="0.75" header="0.3" footer="0.3"/>
  <pageSetup scale="21" firstPageNumber="40" orientation="portrait" useFirstPageNumber="1" r:id="rId1"/>
  <headerFooter alignWithMargins="0">
    <oddFooter>&amp;C&amp;P
Oil Crops Yearbook/OCS-2018
March 2018
Economic Research Service, USDA</oddFooter>
  </headerFooter>
  <ignoredErrors>
    <ignoredError sqref="M6:M43" formulaRange="1"/>
    <ignoredError sqref="A6:A4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47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7.42578125" customWidth="1"/>
    <col min="2" max="14" width="8.85546875" customWidth="1"/>
  </cols>
  <sheetData>
    <row r="1" spans="1:15">
      <c r="A1" s="114" t="s">
        <v>620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61</v>
      </c>
      <c r="N1" s="1" t="s">
        <v>61</v>
      </c>
    </row>
    <row r="2" spans="1:15">
      <c r="A2" t="s">
        <v>120</v>
      </c>
      <c r="B2" s="383"/>
      <c r="C2" s="283"/>
      <c r="D2" s="279" t="s">
        <v>127</v>
      </c>
      <c r="E2" s="279"/>
      <c r="F2" s="382"/>
      <c r="G2" s="279"/>
      <c r="H2" s="187" t="s">
        <v>126</v>
      </c>
      <c r="I2" s="279"/>
      <c r="J2" s="382"/>
      <c r="K2" s="403" t="s">
        <v>125</v>
      </c>
      <c r="L2" s="404"/>
      <c r="M2" s="405"/>
      <c r="N2" s="282" t="s">
        <v>137</v>
      </c>
    </row>
    <row r="3" spans="1:15">
      <c r="A3" s="1" t="s">
        <v>121</v>
      </c>
      <c r="B3" s="371" t="s">
        <v>128</v>
      </c>
      <c r="C3" s="283" t="s">
        <v>129</v>
      </c>
      <c r="D3" s="283" t="s">
        <v>130</v>
      </c>
      <c r="E3" s="283" t="s">
        <v>131</v>
      </c>
      <c r="F3" s="369" t="s">
        <v>176</v>
      </c>
      <c r="G3" s="283" t="s">
        <v>132</v>
      </c>
      <c r="H3" s="283" t="s">
        <v>133</v>
      </c>
      <c r="I3" s="283" t="s">
        <v>134</v>
      </c>
      <c r="J3" s="369" t="s">
        <v>503</v>
      </c>
      <c r="K3" s="283" t="s">
        <v>135</v>
      </c>
      <c r="L3" s="283" t="s">
        <v>136</v>
      </c>
      <c r="M3" s="369" t="s">
        <v>3</v>
      </c>
      <c r="N3" s="283" t="s">
        <v>138</v>
      </c>
    </row>
    <row r="4" spans="1:15">
      <c r="C4" s="268"/>
      <c r="D4" s="268"/>
      <c r="E4" s="268"/>
      <c r="F4" s="268"/>
      <c r="G4" s="277"/>
      <c r="H4" s="268"/>
      <c r="I4" s="268" t="s">
        <v>124</v>
      </c>
      <c r="J4" s="268"/>
      <c r="K4" s="268"/>
      <c r="L4" s="277"/>
      <c r="M4" s="268"/>
      <c r="N4" s="268"/>
    </row>
    <row r="5" spans="1: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>
      <c r="A6" t="s">
        <v>42</v>
      </c>
      <c r="B6" s="25">
        <v>200</v>
      </c>
      <c r="C6" s="25">
        <v>56</v>
      </c>
      <c r="D6" s="25">
        <v>514</v>
      </c>
      <c r="E6" s="25">
        <v>13</v>
      </c>
      <c r="F6" s="25">
        <f>SUM(B6:E6)+6</f>
        <v>789</v>
      </c>
      <c r="G6" s="26">
        <v>105</v>
      </c>
      <c r="H6" s="25">
        <v>230</v>
      </c>
      <c r="I6" s="25">
        <v>8.8000000000000007</v>
      </c>
      <c r="J6" s="25">
        <f t="shared" ref="J6:J40" si="0">SUM(G6:I6)</f>
        <v>343.8</v>
      </c>
      <c r="K6" s="25">
        <v>101</v>
      </c>
      <c r="L6" s="25">
        <v>166</v>
      </c>
      <c r="M6" s="386">
        <f t="shared" ref="M6:M44" si="1">+K6+L6</f>
        <v>267</v>
      </c>
      <c r="N6" s="26">
        <f>F6+J6+M6</f>
        <v>1399.8</v>
      </c>
      <c r="O6" s="60"/>
    </row>
    <row r="7" spans="1:15">
      <c r="A7" t="s">
        <v>43</v>
      </c>
      <c r="B7" s="25">
        <v>222</v>
      </c>
      <c r="C7" s="25">
        <v>60</v>
      </c>
      <c r="D7" s="25">
        <v>565</v>
      </c>
      <c r="E7" s="25">
        <v>15</v>
      </c>
      <c r="F7" s="25">
        <f>SUM(B7:E7)+6.7</f>
        <v>868.7</v>
      </c>
      <c r="G7" s="26">
        <v>91</v>
      </c>
      <c r="H7" s="25">
        <v>242</v>
      </c>
      <c r="I7" s="25">
        <v>10</v>
      </c>
      <c r="J7" s="25">
        <f t="shared" si="0"/>
        <v>343</v>
      </c>
      <c r="K7" s="25">
        <v>105</v>
      </c>
      <c r="L7" s="25">
        <v>172</v>
      </c>
      <c r="M7" s="386">
        <f t="shared" si="1"/>
        <v>277</v>
      </c>
      <c r="N7" s="26">
        <f t="shared" ref="N7:N44" si="2">F7+J7+M7</f>
        <v>1488.7</v>
      </c>
      <c r="O7" s="60"/>
    </row>
    <row r="8" spans="1:15">
      <c r="A8" t="s">
        <v>44</v>
      </c>
      <c r="B8" s="25">
        <v>177</v>
      </c>
      <c r="C8" s="25">
        <v>51</v>
      </c>
      <c r="D8" s="25">
        <v>472</v>
      </c>
      <c r="E8" s="25">
        <v>12</v>
      </c>
      <c r="F8" s="25">
        <f t="shared" ref="F8:F28" si="3">SUM(B8:E8)</f>
        <v>712</v>
      </c>
      <c r="G8" s="26">
        <v>86</v>
      </c>
      <c r="H8" s="25">
        <v>225</v>
      </c>
      <c r="I8" s="25">
        <v>10.4</v>
      </c>
      <c r="J8" s="25">
        <f t="shared" si="0"/>
        <v>321.39999999999998</v>
      </c>
      <c r="K8" s="25">
        <v>95</v>
      </c>
      <c r="L8" s="25">
        <v>149</v>
      </c>
      <c r="M8" s="386">
        <f t="shared" si="1"/>
        <v>244</v>
      </c>
      <c r="N8" s="26">
        <f t="shared" si="2"/>
        <v>1277.4000000000001</v>
      </c>
      <c r="O8" s="60"/>
    </row>
    <row r="9" spans="1:15">
      <c r="A9" t="s">
        <v>45</v>
      </c>
      <c r="B9" s="25">
        <v>180</v>
      </c>
      <c r="C9" s="25">
        <v>60</v>
      </c>
      <c r="D9" s="25">
        <v>562</v>
      </c>
      <c r="E9" s="25">
        <v>12.5</v>
      </c>
      <c r="F9" s="25">
        <f t="shared" si="3"/>
        <v>814.5</v>
      </c>
      <c r="G9" s="26">
        <v>91</v>
      </c>
      <c r="H9" s="25">
        <v>215</v>
      </c>
      <c r="I9" s="25">
        <v>11</v>
      </c>
      <c r="J9" s="25">
        <f t="shared" si="0"/>
        <v>317</v>
      </c>
      <c r="K9" s="25">
        <v>95</v>
      </c>
      <c r="L9" s="25">
        <v>147</v>
      </c>
      <c r="M9" s="386">
        <f t="shared" si="1"/>
        <v>242</v>
      </c>
      <c r="N9" s="26">
        <f t="shared" si="2"/>
        <v>1373.5</v>
      </c>
      <c r="O9" s="60"/>
    </row>
    <row r="10" spans="1:15">
      <c r="A10" t="s">
        <v>46</v>
      </c>
      <c r="B10" s="25">
        <v>219</v>
      </c>
      <c r="C10" s="25">
        <v>77</v>
      </c>
      <c r="D10" s="25">
        <v>640</v>
      </c>
      <c r="E10" s="25">
        <v>14.5</v>
      </c>
      <c r="F10" s="25">
        <f t="shared" si="3"/>
        <v>950.5</v>
      </c>
      <c r="G10" s="26">
        <v>88</v>
      </c>
      <c r="H10" s="25">
        <v>223</v>
      </c>
      <c r="I10" s="25">
        <v>14.5</v>
      </c>
      <c r="J10" s="25">
        <f t="shared" si="0"/>
        <v>325.5</v>
      </c>
      <c r="K10" s="25">
        <v>97</v>
      </c>
      <c r="L10" s="25">
        <v>155</v>
      </c>
      <c r="M10" s="386">
        <f t="shared" si="1"/>
        <v>252</v>
      </c>
      <c r="N10" s="26">
        <f t="shared" si="2"/>
        <v>1528</v>
      </c>
      <c r="O10" s="60"/>
    </row>
    <row r="11" spans="1:15">
      <c r="A11" t="s">
        <v>47</v>
      </c>
      <c r="B11" s="25">
        <v>200</v>
      </c>
      <c r="C11" s="25">
        <v>72</v>
      </c>
      <c r="D11" s="25">
        <v>593</v>
      </c>
      <c r="E11" s="25">
        <v>12</v>
      </c>
      <c r="F11" s="25">
        <f t="shared" si="3"/>
        <v>877</v>
      </c>
      <c r="G11" s="26">
        <v>83</v>
      </c>
      <c r="H11" s="25">
        <v>245</v>
      </c>
      <c r="I11" s="25">
        <v>12.4</v>
      </c>
      <c r="J11" s="25">
        <f t="shared" si="0"/>
        <v>340.4</v>
      </c>
      <c r="K11" s="25">
        <v>96</v>
      </c>
      <c r="L11" s="25">
        <v>154</v>
      </c>
      <c r="M11" s="386">
        <f t="shared" si="1"/>
        <v>250</v>
      </c>
      <c r="N11" s="26">
        <f t="shared" si="2"/>
        <v>1467.4</v>
      </c>
      <c r="O11" s="60"/>
    </row>
    <row r="12" spans="1:15">
      <c r="A12" t="s">
        <v>48</v>
      </c>
      <c r="B12" s="25">
        <v>219</v>
      </c>
      <c r="C12" s="25">
        <v>87</v>
      </c>
      <c r="D12" s="25">
        <v>665</v>
      </c>
      <c r="E12" s="25">
        <v>11.5</v>
      </c>
      <c r="F12" s="25">
        <f t="shared" si="3"/>
        <v>982.5</v>
      </c>
      <c r="G12" s="26">
        <v>88</v>
      </c>
      <c r="H12" s="25">
        <v>220</v>
      </c>
      <c r="I12" s="25">
        <v>12.7</v>
      </c>
      <c r="J12" s="25">
        <f t="shared" si="0"/>
        <v>320.7</v>
      </c>
      <c r="K12" s="25">
        <v>89</v>
      </c>
      <c r="L12" s="25">
        <v>143</v>
      </c>
      <c r="M12" s="386">
        <f t="shared" si="1"/>
        <v>232</v>
      </c>
      <c r="N12" s="26">
        <f t="shared" si="2"/>
        <v>1535.2</v>
      </c>
      <c r="O12" s="60"/>
    </row>
    <row r="13" spans="1:15">
      <c r="A13" t="s">
        <v>49</v>
      </c>
      <c r="B13" s="25">
        <v>220</v>
      </c>
      <c r="C13" s="25">
        <v>83</v>
      </c>
      <c r="D13" s="25">
        <v>630</v>
      </c>
      <c r="E13" s="25">
        <v>13</v>
      </c>
      <c r="F13" s="25">
        <f t="shared" si="3"/>
        <v>946</v>
      </c>
      <c r="G13" s="26">
        <v>99</v>
      </c>
      <c r="H13" s="25">
        <v>252</v>
      </c>
      <c r="I13" s="25">
        <v>12.4</v>
      </c>
      <c r="J13" s="25">
        <f t="shared" si="0"/>
        <v>363.4</v>
      </c>
      <c r="K13" s="25">
        <v>90</v>
      </c>
      <c r="L13" s="25">
        <v>148</v>
      </c>
      <c r="M13" s="386">
        <f t="shared" si="1"/>
        <v>238</v>
      </c>
      <c r="N13" s="26">
        <f t="shared" si="2"/>
        <v>1547.4</v>
      </c>
      <c r="O13" s="60"/>
    </row>
    <row r="14" spans="1:15">
      <c r="A14" t="s">
        <v>50</v>
      </c>
      <c r="B14" s="25">
        <v>236</v>
      </c>
      <c r="C14" s="25">
        <v>90</v>
      </c>
      <c r="D14" s="25">
        <v>685</v>
      </c>
      <c r="E14" s="25">
        <v>13</v>
      </c>
      <c r="F14" s="25">
        <f t="shared" si="3"/>
        <v>1024</v>
      </c>
      <c r="G14" s="26">
        <v>97</v>
      </c>
      <c r="H14" s="25">
        <v>250</v>
      </c>
      <c r="I14" s="25">
        <v>13.4</v>
      </c>
      <c r="J14" s="25">
        <f t="shared" si="0"/>
        <v>360.4</v>
      </c>
      <c r="K14" s="25">
        <v>91</v>
      </c>
      <c r="L14" s="25">
        <v>153</v>
      </c>
      <c r="M14" s="386">
        <f t="shared" si="1"/>
        <v>244</v>
      </c>
      <c r="N14" s="26">
        <f t="shared" si="2"/>
        <v>1628.4</v>
      </c>
      <c r="O14" s="60"/>
    </row>
    <row r="15" spans="1:15">
      <c r="A15" t="s">
        <v>51</v>
      </c>
      <c r="B15" s="25">
        <v>239</v>
      </c>
      <c r="C15" s="25">
        <v>87</v>
      </c>
      <c r="D15" s="25">
        <v>685</v>
      </c>
      <c r="E15" s="25">
        <v>12.5</v>
      </c>
      <c r="F15" s="25">
        <f t="shared" si="3"/>
        <v>1023.5</v>
      </c>
      <c r="G15" s="26">
        <v>98</v>
      </c>
      <c r="H15" s="25">
        <v>262</v>
      </c>
      <c r="I15" s="25">
        <v>18.2</v>
      </c>
      <c r="J15" s="25">
        <f t="shared" si="0"/>
        <v>378.2</v>
      </c>
      <c r="K15" s="25">
        <v>91</v>
      </c>
      <c r="L15" s="25">
        <v>152</v>
      </c>
      <c r="M15" s="386">
        <f t="shared" si="1"/>
        <v>243</v>
      </c>
      <c r="N15" s="26">
        <f t="shared" si="2"/>
        <v>1644.7</v>
      </c>
      <c r="O15" s="60"/>
    </row>
    <row r="16" spans="1:15">
      <c r="A16" t="s">
        <v>52</v>
      </c>
      <c r="B16" s="25">
        <v>256</v>
      </c>
      <c r="C16" s="25">
        <v>100</v>
      </c>
      <c r="D16" s="25">
        <v>770</v>
      </c>
      <c r="E16" s="25">
        <v>13.5</v>
      </c>
      <c r="F16" s="25">
        <f t="shared" si="3"/>
        <v>1139.5</v>
      </c>
      <c r="G16" s="26">
        <v>106</v>
      </c>
      <c r="H16" s="25">
        <v>289</v>
      </c>
      <c r="I16" s="25">
        <v>20</v>
      </c>
      <c r="J16" s="25">
        <f t="shared" si="0"/>
        <v>415</v>
      </c>
      <c r="K16" s="25">
        <v>97</v>
      </c>
      <c r="L16" s="25">
        <v>164</v>
      </c>
      <c r="M16" s="386">
        <f t="shared" si="1"/>
        <v>261</v>
      </c>
      <c r="N16" s="26">
        <f t="shared" si="2"/>
        <v>1815.5</v>
      </c>
      <c r="O16" s="60"/>
    </row>
    <row r="17" spans="1:15">
      <c r="A17" t="s">
        <v>53</v>
      </c>
      <c r="B17" s="25">
        <v>277</v>
      </c>
      <c r="C17" s="25">
        <v>118</v>
      </c>
      <c r="D17" s="25">
        <v>895</v>
      </c>
      <c r="E17" s="25">
        <v>14</v>
      </c>
      <c r="F17" s="25">
        <f t="shared" si="3"/>
        <v>1304</v>
      </c>
      <c r="G17" s="26">
        <v>106</v>
      </c>
      <c r="H17" s="25">
        <v>325</v>
      </c>
      <c r="I17" s="25">
        <v>22.7</v>
      </c>
      <c r="J17" s="25">
        <f t="shared" si="0"/>
        <v>453.7</v>
      </c>
      <c r="K17" s="25">
        <v>96</v>
      </c>
      <c r="L17" s="25">
        <v>162</v>
      </c>
      <c r="M17" s="386">
        <f t="shared" si="1"/>
        <v>258</v>
      </c>
      <c r="N17" s="26">
        <f t="shared" si="2"/>
        <v>2015.7</v>
      </c>
      <c r="O17" s="60"/>
    </row>
    <row r="18" spans="1:15">
      <c r="A18" t="s">
        <v>74</v>
      </c>
      <c r="B18" s="25">
        <v>236</v>
      </c>
      <c r="C18" s="25">
        <v>77</v>
      </c>
      <c r="D18" s="25">
        <v>673</v>
      </c>
      <c r="E18" s="25">
        <v>13</v>
      </c>
      <c r="F18" s="25">
        <f t="shared" si="3"/>
        <v>999</v>
      </c>
      <c r="G18" s="26">
        <v>98</v>
      </c>
      <c r="H18" s="25">
        <v>305</v>
      </c>
      <c r="I18" s="25">
        <v>21.1</v>
      </c>
      <c r="J18" s="25">
        <f t="shared" si="0"/>
        <v>424.1</v>
      </c>
      <c r="K18" s="25">
        <v>93</v>
      </c>
      <c r="L18" s="25">
        <v>153</v>
      </c>
      <c r="M18" s="386">
        <f t="shared" si="1"/>
        <v>246</v>
      </c>
      <c r="N18" s="26">
        <f t="shared" si="2"/>
        <v>1669.1</v>
      </c>
      <c r="O18" s="60"/>
    </row>
    <row r="19" spans="1:15">
      <c r="A19" t="s">
        <v>55</v>
      </c>
      <c r="B19" s="25">
        <v>239</v>
      </c>
      <c r="C19" s="25">
        <v>84</v>
      </c>
      <c r="D19" s="25">
        <v>697</v>
      </c>
      <c r="E19" s="25">
        <v>14</v>
      </c>
      <c r="F19" s="25">
        <f t="shared" si="3"/>
        <v>1034</v>
      </c>
      <c r="G19" s="26">
        <v>102</v>
      </c>
      <c r="H19" s="25">
        <v>295</v>
      </c>
      <c r="I19" s="25">
        <v>21.8</v>
      </c>
      <c r="J19" s="25">
        <f t="shared" si="0"/>
        <v>418.8</v>
      </c>
      <c r="K19" s="25">
        <v>94</v>
      </c>
      <c r="L19" s="25">
        <v>143</v>
      </c>
      <c r="M19" s="386">
        <f t="shared" si="1"/>
        <v>237</v>
      </c>
      <c r="N19" s="26">
        <f t="shared" si="2"/>
        <v>1689.8</v>
      </c>
      <c r="O19" s="60"/>
    </row>
    <row r="20" spans="1:15">
      <c r="A20" t="s">
        <v>56</v>
      </c>
      <c r="B20" s="25">
        <v>222</v>
      </c>
      <c r="C20" s="25">
        <v>84</v>
      </c>
      <c r="D20" s="25">
        <v>649</v>
      </c>
      <c r="E20" s="25">
        <v>12.5</v>
      </c>
      <c r="F20" s="25">
        <f t="shared" si="3"/>
        <v>967.5</v>
      </c>
      <c r="G20" s="26">
        <v>100</v>
      </c>
      <c r="H20" s="25">
        <v>287</v>
      </c>
      <c r="I20" s="25">
        <v>21</v>
      </c>
      <c r="J20" s="25">
        <f t="shared" si="0"/>
        <v>408</v>
      </c>
      <c r="K20" s="25">
        <v>92</v>
      </c>
      <c r="L20" s="25">
        <v>151</v>
      </c>
      <c r="M20" s="386">
        <f t="shared" si="1"/>
        <v>243</v>
      </c>
      <c r="N20" s="26">
        <f t="shared" si="2"/>
        <v>1618.5</v>
      </c>
      <c r="O20" s="60"/>
    </row>
    <row r="21" spans="1:15">
      <c r="A21" t="s">
        <v>57</v>
      </c>
      <c r="B21" s="25">
        <v>212</v>
      </c>
      <c r="C21" s="25">
        <v>81</v>
      </c>
      <c r="D21" s="25">
        <v>592</v>
      </c>
      <c r="E21" s="25">
        <v>11</v>
      </c>
      <c r="F21" s="25">
        <f t="shared" si="3"/>
        <v>896</v>
      </c>
      <c r="G21" s="26">
        <v>98</v>
      </c>
      <c r="H21" s="25">
        <v>270</v>
      </c>
      <c r="I21" s="25">
        <v>20</v>
      </c>
      <c r="J21" s="25">
        <f t="shared" si="0"/>
        <v>388</v>
      </c>
      <c r="K21" s="25">
        <v>89</v>
      </c>
      <c r="L21" s="25">
        <v>144</v>
      </c>
      <c r="M21" s="386">
        <f t="shared" si="1"/>
        <v>233</v>
      </c>
      <c r="N21" s="26">
        <f t="shared" si="2"/>
        <v>1517</v>
      </c>
      <c r="O21" s="60"/>
    </row>
    <row r="22" spans="1:15">
      <c r="A22" t="s">
        <v>75</v>
      </c>
      <c r="B22" s="25">
        <v>191</v>
      </c>
      <c r="C22" s="25">
        <v>82</v>
      </c>
      <c r="D22" s="25">
        <v>533</v>
      </c>
      <c r="E22" s="25">
        <v>10.5</v>
      </c>
      <c r="F22" s="25">
        <f t="shared" si="3"/>
        <v>816.5</v>
      </c>
      <c r="G22" s="26">
        <v>81</v>
      </c>
      <c r="H22" s="25">
        <v>265</v>
      </c>
      <c r="I22" s="25">
        <v>16.5</v>
      </c>
      <c r="J22" s="25">
        <f t="shared" si="0"/>
        <v>362.5</v>
      </c>
      <c r="K22" s="25">
        <v>76</v>
      </c>
      <c r="L22" s="25">
        <v>125</v>
      </c>
      <c r="M22" s="386">
        <f t="shared" si="1"/>
        <v>201</v>
      </c>
      <c r="N22" s="26">
        <f t="shared" si="2"/>
        <v>1380</v>
      </c>
      <c r="O22" s="60"/>
    </row>
    <row r="23" spans="1:15">
      <c r="A23" t="s">
        <v>59</v>
      </c>
      <c r="B23" s="25">
        <v>193</v>
      </c>
      <c r="C23" s="25">
        <v>84</v>
      </c>
      <c r="D23" s="25">
        <v>519</v>
      </c>
      <c r="E23" s="25">
        <v>10.5</v>
      </c>
      <c r="F23" s="25">
        <f t="shared" si="3"/>
        <v>806.5</v>
      </c>
      <c r="G23" s="26">
        <v>77</v>
      </c>
      <c r="H23" s="25">
        <v>315</v>
      </c>
      <c r="I23" s="25">
        <v>17.3</v>
      </c>
      <c r="J23" s="25">
        <f t="shared" si="0"/>
        <v>409.3</v>
      </c>
      <c r="K23" s="25">
        <v>75</v>
      </c>
      <c r="L23" s="25">
        <v>123</v>
      </c>
      <c r="M23" s="386">
        <f t="shared" si="1"/>
        <v>198</v>
      </c>
      <c r="N23" s="26">
        <f t="shared" si="2"/>
        <v>1413.8</v>
      </c>
      <c r="O23" s="60"/>
    </row>
    <row r="24" spans="1:15">
      <c r="A24" t="s">
        <v>122</v>
      </c>
      <c r="B24" s="25">
        <v>197</v>
      </c>
      <c r="C24" s="25">
        <v>90</v>
      </c>
      <c r="D24" s="25">
        <v>537</v>
      </c>
      <c r="E24" s="25">
        <v>11.5</v>
      </c>
      <c r="F24" s="25">
        <f t="shared" si="3"/>
        <v>835.5</v>
      </c>
      <c r="G24" s="26">
        <v>75</v>
      </c>
      <c r="H24" s="25">
        <v>335</v>
      </c>
      <c r="I24" s="25">
        <v>22</v>
      </c>
      <c r="J24" s="25">
        <f t="shared" si="0"/>
        <v>432</v>
      </c>
      <c r="K24" s="25">
        <v>75</v>
      </c>
      <c r="L24" s="25">
        <v>124.5</v>
      </c>
      <c r="M24" s="386">
        <f t="shared" si="1"/>
        <v>199.5</v>
      </c>
      <c r="N24" s="26">
        <f t="shared" si="2"/>
        <v>1467</v>
      </c>
      <c r="O24" s="60"/>
    </row>
    <row r="25" spans="1:15">
      <c r="A25" t="s">
        <v>123</v>
      </c>
      <c r="B25" s="25">
        <v>206</v>
      </c>
      <c r="C25" s="25">
        <v>94</v>
      </c>
      <c r="D25" s="25">
        <v>544</v>
      </c>
      <c r="E25" s="25">
        <v>11</v>
      </c>
      <c r="F25" s="25">
        <f t="shared" si="3"/>
        <v>855</v>
      </c>
      <c r="G25" s="26">
        <v>79</v>
      </c>
      <c r="H25" s="25">
        <v>280</v>
      </c>
      <c r="I25" s="25">
        <v>22</v>
      </c>
      <c r="J25" s="25">
        <f t="shared" si="0"/>
        <v>381</v>
      </c>
      <c r="K25" s="25">
        <v>76</v>
      </c>
      <c r="L25" s="25">
        <v>124</v>
      </c>
      <c r="M25" s="386">
        <f t="shared" si="1"/>
        <v>200</v>
      </c>
      <c r="N25" s="26">
        <f t="shared" si="2"/>
        <v>1436</v>
      </c>
      <c r="O25" s="60"/>
    </row>
    <row r="26" spans="1:15">
      <c r="A26" t="s">
        <v>344</v>
      </c>
      <c r="B26" s="68">
        <v>182</v>
      </c>
      <c r="C26" s="68">
        <v>86</v>
      </c>
      <c r="D26" s="68">
        <v>492</v>
      </c>
      <c r="E26" s="68">
        <v>10</v>
      </c>
      <c r="F26" s="68">
        <f t="shared" si="3"/>
        <v>770</v>
      </c>
      <c r="G26" s="69">
        <v>67</v>
      </c>
      <c r="H26" s="68">
        <v>275</v>
      </c>
      <c r="I26" s="68">
        <v>26</v>
      </c>
      <c r="J26" s="68">
        <f t="shared" si="0"/>
        <v>368</v>
      </c>
      <c r="K26" s="25">
        <v>75</v>
      </c>
      <c r="L26" s="25">
        <v>123</v>
      </c>
      <c r="M26" s="386">
        <f t="shared" si="1"/>
        <v>198</v>
      </c>
      <c r="N26" s="26">
        <f t="shared" si="2"/>
        <v>1336</v>
      </c>
      <c r="O26" s="60"/>
    </row>
    <row r="27" spans="1:15">
      <c r="A27" t="s">
        <v>587</v>
      </c>
      <c r="B27" s="68">
        <v>199</v>
      </c>
      <c r="C27" s="68">
        <v>82</v>
      </c>
      <c r="D27" s="68">
        <v>514</v>
      </c>
      <c r="E27" s="68">
        <v>10.199999999999999</v>
      </c>
      <c r="F27" s="68">
        <f t="shared" si="3"/>
        <v>805.2</v>
      </c>
      <c r="G27" s="69">
        <v>77</v>
      </c>
      <c r="H27" s="68">
        <v>310</v>
      </c>
      <c r="I27" s="68">
        <v>22.2</v>
      </c>
      <c r="J27" s="68">
        <f t="shared" si="0"/>
        <v>409.2</v>
      </c>
      <c r="K27" s="25">
        <v>75</v>
      </c>
      <c r="L27" s="25">
        <v>122.5</v>
      </c>
      <c r="M27" s="386">
        <f t="shared" si="1"/>
        <v>197.5</v>
      </c>
      <c r="N27" s="26">
        <f t="shared" si="2"/>
        <v>1411.9</v>
      </c>
      <c r="O27" s="60"/>
    </row>
    <row r="28" spans="1:15">
      <c r="A28" t="s">
        <v>588</v>
      </c>
      <c r="B28" s="112">
        <v>180</v>
      </c>
      <c r="C28" s="112">
        <v>86</v>
      </c>
      <c r="D28" s="112">
        <v>505</v>
      </c>
      <c r="E28" s="112">
        <v>8.6999999999999993</v>
      </c>
      <c r="F28" s="112">
        <f t="shared" si="3"/>
        <v>779.7</v>
      </c>
      <c r="G28" s="120">
        <v>57</v>
      </c>
      <c r="H28" s="112">
        <v>280</v>
      </c>
      <c r="I28" s="112">
        <v>18</v>
      </c>
      <c r="J28" s="112">
        <f t="shared" si="0"/>
        <v>355</v>
      </c>
      <c r="K28" s="25">
        <v>57</v>
      </c>
      <c r="L28" s="25">
        <v>100</v>
      </c>
      <c r="M28" s="386">
        <f t="shared" si="1"/>
        <v>157</v>
      </c>
      <c r="N28" s="26">
        <f t="shared" si="2"/>
        <v>1291.7</v>
      </c>
      <c r="O28" s="60"/>
    </row>
    <row r="29" spans="1:15">
      <c r="A29" t="s">
        <v>589</v>
      </c>
      <c r="B29" s="112">
        <v>185</v>
      </c>
      <c r="C29" s="112">
        <v>115</v>
      </c>
      <c r="D29" s="112">
        <v>540</v>
      </c>
      <c r="E29" s="112">
        <v>17</v>
      </c>
      <c r="F29" s="112">
        <f>SUM(B29:E29)</f>
        <v>857</v>
      </c>
      <c r="G29" s="120">
        <v>35</v>
      </c>
      <c r="H29" s="112">
        <v>270</v>
      </c>
      <c r="I29" s="112">
        <v>17</v>
      </c>
      <c r="J29" s="112">
        <f t="shared" si="0"/>
        <v>322</v>
      </c>
      <c r="K29" s="25">
        <v>33</v>
      </c>
      <c r="L29" s="25">
        <v>100</v>
      </c>
      <c r="M29" s="386">
        <f t="shared" si="1"/>
        <v>133</v>
      </c>
      <c r="N29" s="26">
        <f t="shared" si="2"/>
        <v>1312</v>
      </c>
      <c r="O29" s="60"/>
    </row>
    <row r="30" spans="1:15">
      <c r="A30" t="s">
        <v>386</v>
      </c>
      <c r="B30" s="112">
        <v>199</v>
      </c>
      <c r="C30" s="112">
        <v>130</v>
      </c>
      <c r="D30" s="112">
        <v>610</v>
      </c>
      <c r="E30" s="112">
        <v>33</v>
      </c>
      <c r="F30" s="112">
        <f>SUM(B30:E30)</f>
        <v>972</v>
      </c>
      <c r="G30" s="120">
        <v>33</v>
      </c>
      <c r="H30" s="112">
        <v>235</v>
      </c>
      <c r="I30" s="112">
        <v>17</v>
      </c>
      <c r="J30" s="112">
        <f t="shared" si="0"/>
        <v>285</v>
      </c>
      <c r="K30" s="25">
        <v>32</v>
      </c>
      <c r="L30" s="25">
        <v>105</v>
      </c>
      <c r="M30" s="386">
        <f t="shared" si="1"/>
        <v>137</v>
      </c>
      <c r="N30" s="26">
        <f t="shared" si="2"/>
        <v>1394</v>
      </c>
      <c r="O30" s="60"/>
    </row>
    <row r="31" spans="1:15">
      <c r="A31" t="s">
        <v>590</v>
      </c>
      <c r="B31" s="112">
        <v>223</v>
      </c>
      <c r="C31" s="112">
        <v>152</v>
      </c>
      <c r="D31" s="112">
        <v>750</v>
      </c>
      <c r="E31" s="112">
        <v>60</v>
      </c>
      <c r="F31" s="112">
        <f>SUM(B31:E31)+14</f>
        <v>1199</v>
      </c>
      <c r="G31" s="120">
        <v>33</v>
      </c>
      <c r="H31" s="112">
        <v>260</v>
      </c>
      <c r="I31" s="112">
        <v>19</v>
      </c>
      <c r="J31" s="112">
        <f t="shared" si="0"/>
        <v>312</v>
      </c>
      <c r="K31" s="25">
        <v>22</v>
      </c>
      <c r="L31" s="25">
        <v>96</v>
      </c>
      <c r="M31" s="386">
        <f t="shared" si="1"/>
        <v>118</v>
      </c>
      <c r="N31" s="26">
        <f t="shared" si="2"/>
        <v>1629</v>
      </c>
      <c r="O31" s="60"/>
    </row>
    <row r="32" spans="1:15">
      <c r="A32" t="s">
        <v>591</v>
      </c>
      <c r="B32" s="112">
        <v>163</v>
      </c>
      <c r="C32" s="112">
        <v>120</v>
      </c>
      <c r="D32" s="112">
        <v>575</v>
      </c>
      <c r="E32" s="112">
        <v>56</v>
      </c>
      <c r="F32" s="112">
        <f>SUM(B32:E32)+16</f>
        <v>930</v>
      </c>
      <c r="G32" s="120">
        <v>22</v>
      </c>
      <c r="H32" s="112">
        <v>145</v>
      </c>
      <c r="I32" s="112">
        <v>12</v>
      </c>
      <c r="J32" s="112">
        <f t="shared" si="0"/>
        <v>179</v>
      </c>
      <c r="K32" s="25">
        <v>17</v>
      </c>
      <c r="L32" s="25">
        <v>84</v>
      </c>
      <c r="M32" s="386">
        <f t="shared" si="1"/>
        <v>101</v>
      </c>
      <c r="N32" s="26">
        <f t="shared" si="2"/>
        <v>1210</v>
      </c>
      <c r="O32" s="60"/>
    </row>
    <row r="33" spans="1:15">
      <c r="A33" t="s">
        <v>592</v>
      </c>
      <c r="B33" s="112">
        <v>157</v>
      </c>
      <c r="C33" s="112">
        <v>119</v>
      </c>
      <c r="D33" s="112">
        <v>520</v>
      </c>
      <c r="E33" s="112">
        <v>56</v>
      </c>
      <c r="F33" s="112">
        <f>SUM(B33:E33)+18</f>
        <v>870</v>
      </c>
      <c r="G33" s="120">
        <v>17</v>
      </c>
      <c r="H33" s="112">
        <v>187</v>
      </c>
      <c r="I33" s="112">
        <v>10</v>
      </c>
      <c r="J33" s="112">
        <f t="shared" si="0"/>
        <v>214</v>
      </c>
      <c r="K33" s="25">
        <v>21</v>
      </c>
      <c r="L33" s="25">
        <v>90</v>
      </c>
      <c r="M33" s="386">
        <f t="shared" si="1"/>
        <v>111</v>
      </c>
      <c r="N33" s="26">
        <f t="shared" si="2"/>
        <v>1195</v>
      </c>
      <c r="O33" s="60"/>
    </row>
    <row r="34" spans="1:15">
      <c r="A34" t="s">
        <v>593</v>
      </c>
      <c r="B34" s="112">
        <v>193</v>
      </c>
      <c r="C34" s="112">
        <v>140</v>
      </c>
      <c r="D34" s="112">
        <v>685</v>
      </c>
      <c r="E34" s="112">
        <v>68</v>
      </c>
      <c r="F34" s="112">
        <f>SUM(B34:E34)+21</f>
        <v>1107</v>
      </c>
      <c r="G34" s="120">
        <v>18</v>
      </c>
      <c r="H34" s="112">
        <v>253</v>
      </c>
      <c r="I34" s="112">
        <v>8</v>
      </c>
      <c r="J34" s="112">
        <f t="shared" si="0"/>
        <v>279</v>
      </c>
      <c r="K34" s="25">
        <v>24</v>
      </c>
      <c r="L34" s="25">
        <v>97</v>
      </c>
      <c r="M34" s="386">
        <f t="shared" si="1"/>
        <v>121</v>
      </c>
      <c r="N34" s="26">
        <f t="shared" si="2"/>
        <v>1507</v>
      </c>
      <c r="O34" s="60"/>
    </row>
    <row r="35" spans="1:15">
      <c r="A35" t="s">
        <v>594</v>
      </c>
      <c r="B35" s="112">
        <v>150</v>
      </c>
      <c r="C35" s="112">
        <v>105</v>
      </c>
      <c r="D35" s="112">
        <v>505</v>
      </c>
      <c r="E35" s="112">
        <v>48</v>
      </c>
      <c r="F35" s="112">
        <f>SUM(B35:E35)+18</f>
        <v>826</v>
      </c>
      <c r="G35" s="120">
        <v>13</v>
      </c>
      <c r="H35" s="112">
        <v>155</v>
      </c>
      <c r="I35" s="112">
        <v>7</v>
      </c>
      <c r="J35" s="112">
        <f t="shared" si="0"/>
        <v>175</v>
      </c>
      <c r="K35" s="25">
        <v>12</v>
      </c>
      <c r="L35" s="25">
        <v>66</v>
      </c>
      <c r="M35" s="386">
        <f t="shared" si="1"/>
        <v>78</v>
      </c>
      <c r="N35" s="26">
        <f t="shared" si="2"/>
        <v>1079</v>
      </c>
      <c r="O35" s="60"/>
    </row>
    <row r="36" spans="1:15">
      <c r="A36" t="s">
        <v>595</v>
      </c>
      <c r="B36" s="112">
        <v>185</v>
      </c>
      <c r="C36" s="112">
        <v>135</v>
      </c>
      <c r="D36" s="112">
        <v>555</v>
      </c>
      <c r="E36" s="112">
        <v>64</v>
      </c>
      <c r="F36" s="112">
        <f>SUM(B36:E36)+18</f>
        <v>957</v>
      </c>
      <c r="G36" s="120">
        <v>21</v>
      </c>
      <c r="H36" s="112">
        <v>163</v>
      </c>
      <c r="I36" s="112">
        <v>10</v>
      </c>
      <c r="J36" s="112">
        <f t="shared" si="0"/>
        <v>194</v>
      </c>
      <c r="K36" s="25">
        <v>18</v>
      </c>
      <c r="L36" s="25">
        <v>86</v>
      </c>
      <c r="M36" s="386">
        <f t="shared" si="1"/>
        <v>104</v>
      </c>
      <c r="N36" s="26">
        <f t="shared" si="2"/>
        <v>1255</v>
      </c>
      <c r="O36" s="60"/>
    </row>
    <row r="37" spans="1:15">
      <c r="A37" t="s">
        <v>596</v>
      </c>
      <c r="B37" s="112">
        <v>166</v>
      </c>
      <c r="C37" s="112">
        <v>157</v>
      </c>
      <c r="D37" s="112">
        <v>454</v>
      </c>
      <c r="E37" s="112">
        <v>73</v>
      </c>
      <c r="F37" s="112">
        <f>SUM(B37:E37)+14</f>
        <v>864</v>
      </c>
      <c r="G37" s="120">
        <v>21</v>
      </c>
      <c r="H37" s="112">
        <v>93</v>
      </c>
      <c r="I37" s="112">
        <v>6.6</v>
      </c>
      <c r="J37" s="112">
        <f t="shared" si="0"/>
        <v>120.6</v>
      </c>
      <c r="K37" s="25">
        <v>15</v>
      </c>
      <c r="L37" s="25">
        <v>81</v>
      </c>
      <c r="M37" s="386">
        <f t="shared" si="1"/>
        <v>96</v>
      </c>
      <c r="N37" s="26">
        <f t="shared" si="2"/>
        <v>1080.5999999999999</v>
      </c>
      <c r="O37" s="60"/>
    </row>
    <row r="38" spans="1:15">
      <c r="A38" t="s">
        <v>597</v>
      </c>
      <c r="B38" s="112">
        <v>219</v>
      </c>
      <c r="C38" s="112">
        <v>195</v>
      </c>
      <c r="D38" s="112">
        <v>730</v>
      </c>
      <c r="E38" s="112">
        <v>107</v>
      </c>
      <c r="F38" s="112">
        <f>SUM(B38:E38)+49</f>
        <v>1300</v>
      </c>
      <c r="G38" s="120">
        <v>22</v>
      </c>
      <c r="H38" s="112">
        <v>146</v>
      </c>
      <c r="I38" s="112">
        <v>10</v>
      </c>
      <c r="J38" s="112">
        <f t="shared" si="0"/>
        <v>178</v>
      </c>
      <c r="K38" s="25">
        <v>20</v>
      </c>
      <c r="L38" s="25">
        <v>106</v>
      </c>
      <c r="M38" s="386">
        <f t="shared" si="1"/>
        <v>126</v>
      </c>
      <c r="N38" s="26">
        <f t="shared" si="2"/>
        <v>1604</v>
      </c>
      <c r="O38" s="60"/>
    </row>
    <row r="39" spans="1:15">
      <c r="A39" t="s">
        <v>598</v>
      </c>
      <c r="B39" s="112">
        <v>138</v>
      </c>
      <c r="C39" s="112">
        <v>131</v>
      </c>
      <c r="D39" s="112">
        <v>426</v>
      </c>
      <c r="E39" s="112">
        <v>78</v>
      </c>
      <c r="F39" s="112">
        <f>SUM(B39:E39)+33</f>
        <v>806</v>
      </c>
      <c r="G39" s="120">
        <v>16</v>
      </c>
      <c r="H39" s="112">
        <v>117</v>
      </c>
      <c r="I39" s="112">
        <v>7</v>
      </c>
      <c r="J39" s="112">
        <f t="shared" si="0"/>
        <v>140</v>
      </c>
      <c r="K39" s="25">
        <v>16</v>
      </c>
      <c r="L39" s="25">
        <v>81</v>
      </c>
      <c r="M39" s="386">
        <f t="shared" si="1"/>
        <v>97</v>
      </c>
      <c r="N39" s="26">
        <f t="shared" si="2"/>
        <v>1043</v>
      </c>
      <c r="O39" s="60"/>
    </row>
    <row r="40" spans="1:15">
      <c r="A40" t="s">
        <v>599</v>
      </c>
      <c r="B40" s="117">
        <v>173</v>
      </c>
      <c r="C40" s="117">
        <v>167</v>
      </c>
      <c r="D40" s="117">
        <v>589</v>
      </c>
      <c r="E40" s="117">
        <v>108</v>
      </c>
      <c r="F40" s="117">
        <f>SUM(B40:E40)+31</f>
        <v>1068</v>
      </c>
      <c r="G40" s="210">
        <v>11</v>
      </c>
      <c r="H40" s="117">
        <v>127</v>
      </c>
      <c r="I40" s="117">
        <v>4.5</v>
      </c>
      <c r="J40" s="117">
        <f t="shared" si="0"/>
        <v>142.5</v>
      </c>
      <c r="K40" s="25">
        <v>19</v>
      </c>
      <c r="L40" s="25">
        <v>93</v>
      </c>
      <c r="M40" s="386">
        <f t="shared" si="1"/>
        <v>112</v>
      </c>
      <c r="N40" s="26">
        <f t="shared" si="2"/>
        <v>1322.5</v>
      </c>
      <c r="O40" s="60"/>
    </row>
    <row r="41" spans="1:15">
      <c r="A41" t="s">
        <v>600</v>
      </c>
      <c r="B41" s="117">
        <v>196</v>
      </c>
      <c r="C41" s="117">
        <v>180</v>
      </c>
      <c r="D41" s="117">
        <v>777</v>
      </c>
      <c r="E41" s="117">
        <v>82</v>
      </c>
      <c r="F41" s="117">
        <f>SUM(B41:E41)+41</f>
        <v>1276</v>
      </c>
      <c r="G41" s="210">
        <v>9</v>
      </c>
      <c r="H41" s="117">
        <v>165</v>
      </c>
      <c r="I41" s="117">
        <v>4.9000000000000004</v>
      </c>
      <c r="J41" s="117">
        <f>SUM(G41:I41)</f>
        <v>178.9</v>
      </c>
      <c r="K41" s="25">
        <v>19</v>
      </c>
      <c r="L41" s="25">
        <v>87</v>
      </c>
      <c r="M41" s="386">
        <f t="shared" si="1"/>
        <v>106</v>
      </c>
      <c r="N41" s="26">
        <f t="shared" si="2"/>
        <v>1560.9</v>
      </c>
      <c r="O41" s="60"/>
    </row>
    <row r="42" spans="1:15">
      <c r="A42" t="s">
        <v>601</v>
      </c>
      <c r="B42" s="117">
        <v>172</v>
      </c>
      <c r="C42" s="117">
        <v>146</v>
      </c>
      <c r="D42" s="117">
        <v>706</v>
      </c>
      <c r="E42" s="117">
        <v>106</v>
      </c>
      <c r="F42" s="117">
        <f>SUM(B42:E42)+38</f>
        <v>1168</v>
      </c>
      <c r="G42" s="210">
        <v>12</v>
      </c>
      <c r="H42" s="117">
        <v>205</v>
      </c>
      <c r="I42" s="117">
        <v>8</v>
      </c>
      <c r="J42" s="117">
        <f>SUM(G42:I42)+23</f>
        <v>248</v>
      </c>
      <c r="K42" s="25">
        <v>21</v>
      </c>
      <c r="L42" s="25">
        <v>99</v>
      </c>
      <c r="M42" s="386">
        <f t="shared" si="1"/>
        <v>120</v>
      </c>
      <c r="N42" s="26">
        <f t="shared" si="2"/>
        <v>1536</v>
      </c>
      <c r="O42" s="60"/>
    </row>
    <row r="43" spans="1:15">
      <c r="A43" s="115">
        <v>2017</v>
      </c>
      <c r="B43" s="117">
        <v>193</v>
      </c>
      <c r="C43" s="117">
        <v>185</v>
      </c>
      <c r="D43" s="117">
        <v>825</v>
      </c>
      <c r="E43" s="117">
        <v>118</v>
      </c>
      <c r="F43" s="117">
        <f>SUM(B43:E43)+43</f>
        <v>1364</v>
      </c>
      <c r="G43" s="210">
        <v>21</v>
      </c>
      <c r="H43" s="117">
        <v>210</v>
      </c>
      <c r="I43" s="117">
        <v>7.6</v>
      </c>
      <c r="J43" s="117">
        <f>SUM(G43:I43)+29</f>
        <v>267.60000000000002</v>
      </c>
      <c r="K43" s="25">
        <v>27</v>
      </c>
      <c r="L43" s="25">
        <v>117</v>
      </c>
      <c r="M43" s="386">
        <f t="shared" si="1"/>
        <v>144</v>
      </c>
      <c r="N43" s="26">
        <f t="shared" si="2"/>
        <v>1775.6</v>
      </c>
      <c r="O43" s="60"/>
    </row>
    <row r="44" spans="1:15">
      <c r="A44" s="118">
        <v>2018</v>
      </c>
      <c r="B44" s="251">
        <v>162</v>
      </c>
      <c r="C44" s="251">
        <v>140</v>
      </c>
      <c r="D44" s="251">
        <v>650</v>
      </c>
      <c r="E44" s="251">
        <v>82</v>
      </c>
      <c r="F44" s="251">
        <f>SUM(B44:E44)+24</f>
        <v>1058</v>
      </c>
      <c r="G44" s="252">
        <v>15</v>
      </c>
      <c r="H44" s="251">
        <v>145</v>
      </c>
      <c r="I44" s="251">
        <v>5.5</v>
      </c>
      <c r="J44" s="251">
        <f>SUM(G44:I44)+23</f>
        <v>188.5</v>
      </c>
      <c r="K44" s="387">
        <v>24</v>
      </c>
      <c r="L44" s="387">
        <v>98</v>
      </c>
      <c r="M44" s="119">
        <f t="shared" si="1"/>
        <v>122</v>
      </c>
      <c r="N44" s="388">
        <f t="shared" si="2"/>
        <v>1368.5</v>
      </c>
      <c r="O44" s="60"/>
    </row>
    <row r="45" spans="1:15">
      <c r="A45" s="129" t="s">
        <v>504</v>
      </c>
      <c r="B45" s="112"/>
      <c r="C45" s="112"/>
      <c r="D45" s="112"/>
      <c r="E45" s="112"/>
      <c r="F45" s="120"/>
      <c r="G45" s="120"/>
      <c r="H45" s="112"/>
      <c r="I45" s="112"/>
      <c r="J45" s="112"/>
      <c r="K45" s="112"/>
      <c r="L45" s="112"/>
      <c r="M45" s="112"/>
      <c r="N45" s="120"/>
      <c r="O45" s="60"/>
    </row>
    <row r="46" spans="1:15" ht="13.2" customHeight="1">
      <c r="A46" s="107" t="s">
        <v>529</v>
      </c>
    </row>
    <row r="47" spans="1:15">
      <c r="N47" s="269" t="s">
        <v>679</v>
      </c>
    </row>
  </sheetData>
  <mergeCells count="1">
    <mergeCell ref="K2:M2"/>
  </mergeCells>
  <phoneticPr fontId="0" type="noConversion"/>
  <pageMargins left="0.7" right="0.7" top="0.75" bottom="0.75" header="0.3" footer="0.3"/>
  <pageSetup scale="21" firstPageNumber="41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8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6.42578125" customWidth="1"/>
    <col min="2" max="3" width="8.85546875" customWidth="1"/>
    <col min="4" max="4" width="9.85546875" customWidth="1"/>
    <col min="5" max="5" width="8.85546875" customWidth="1"/>
    <col min="6" max="6" width="9.85546875" customWidth="1"/>
    <col min="7" max="9" width="8.85546875" customWidth="1"/>
    <col min="10" max="10" width="9.85546875" customWidth="1"/>
    <col min="11" max="12" width="8.85546875" customWidth="1"/>
    <col min="13" max="13" width="9.85546875" customWidth="1"/>
    <col min="14" max="14" width="11.85546875" customWidth="1"/>
    <col min="15" max="15" width="10.7109375" bestFit="1" customWidth="1"/>
  </cols>
  <sheetData>
    <row r="1" spans="1:16">
      <c r="A1" s="114" t="s">
        <v>621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61</v>
      </c>
      <c r="N1" s="1" t="s">
        <v>61</v>
      </c>
    </row>
    <row r="2" spans="1:16">
      <c r="A2" t="s">
        <v>120</v>
      </c>
      <c r="B2" s="383"/>
      <c r="C2" s="283"/>
      <c r="D2" s="279" t="s">
        <v>127</v>
      </c>
      <c r="E2" s="279"/>
      <c r="F2" s="382"/>
      <c r="G2" s="279"/>
      <c r="H2" s="187" t="s">
        <v>126</v>
      </c>
      <c r="I2" s="279"/>
      <c r="J2" s="382"/>
      <c r="K2" s="403" t="s">
        <v>125</v>
      </c>
      <c r="L2" s="404"/>
      <c r="M2" s="405"/>
      <c r="N2" s="7" t="s">
        <v>137</v>
      </c>
    </row>
    <row r="3" spans="1:16">
      <c r="A3" s="1" t="s">
        <v>121</v>
      </c>
      <c r="B3" s="371" t="s">
        <v>128</v>
      </c>
      <c r="C3" s="283" t="s">
        <v>129</v>
      </c>
      <c r="D3" s="283" t="s">
        <v>130</v>
      </c>
      <c r="E3" s="283" t="s">
        <v>131</v>
      </c>
      <c r="F3" s="369" t="s">
        <v>176</v>
      </c>
      <c r="G3" s="283" t="s">
        <v>132</v>
      </c>
      <c r="H3" s="283" t="s">
        <v>133</v>
      </c>
      <c r="I3" s="283" t="s">
        <v>134</v>
      </c>
      <c r="J3" s="369" t="s">
        <v>503</v>
      </c>
      <c r="K3" s="283" t="s">
        <v>135</v>
      </c>
      <c r="L3" s="283" t="s">
        <v>136</v>
      </c>
      <c r="M3" s="369" t="s">
        <v>3</v>
      </c>
      <c r="N3" s="9" t="s">
        <v>138</v>
      </c>
    </row>
    <row r="4" spans="1:16">
      <c r="C4" s="268"/>
      <c r="D4" s="268"/>
      <c r="E4" s="268"/>
      <c r="F4" s="268"/>
      <c r="G4" s="277"/>
      <c r="H4" s="268"/>
      <c r="I4" s="268" t="s">
        <v>139</v>
      </c>
      <c r="J4" s="277"/>
      <c r="K4" s="268"/>
      <c r="L4" s="277"/>
      <c r="M4" s="268"/>
      <c r="N4" s="268"/>
    </row>
    <row r="5" spans="1:16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>
      <c r="A6" t="s">
        <v>42</v>
      </c>
      <c r="B6" s="27">
        <v>265000</v>
      </c>
      <c r="C6" s="27">
        <v>144480</v>
      </c>
      <c r="D6" s="27">
        <v>994590</v>
      </c>
      <c r="E6" s="27">
        <v>14300</v>
      </c>
      <c r="F6" s="27">
        <f>SUM(B6:E6)+7500</f>
        <v>1425870</v>
      </c>
      <c r="G6" s="27">
        <v>140175</v>
      </c>
      <c r="H6" s="27">
        <v>293250</v>
      </c>
      <c r="I6" s="27">
        <v>22352</v>
      </c>
      <c r="J6" s="384">
        <f t="shared" ref="J6:J40" si="0">SUM(G6:I6)</f>
        <v>455777</v>
      </c>
      <c r="K6" s="384">
        <v>136350</v>
      </c>
      <c r="L6" s="384">
        <v>291330</v>
      </c>
      <c r="M6" s="384">
        <f t="shared" ref="M6:M40" si="1">SUM(K6:L6)</f>
        <v>427680</v>
      </c>
      <c r="N6" s="384">
        <f>F6+J6+M6</f>
        <v>2309327</v>
      </c>
      <c r="O6" s="17"/>
      <c r="P6" s="27"/>
    </row>
    <row r="7" spans="1:16">
      <c r="A7" t="s">
        <v>43</v>
      </c>
      <c r="B7" s="27">
        <v>602730</v>
      </c>
      <c r="C7" s="27">
        <v>178200</v>
      </c>
      <c r="D7" s="27">
        <v>1655450</v>
      </c>
      <c r="E7" s="27">
        <v>39000</v>
      </c>
      <c r="F7" s="27">
        <f>SUM(B7:E7)+12730</f>
        <v>2488110</v>
      </c>
      <c r="G7" s="27">
        <v>189280</v>
      </c>
      <c r="H7" s="27">
        <v>393250</v>
      </c>
      <c r="I7" s="27">
        <v>24900</v>
      </c>
      <c r="J7" s="384">
        <f t="shared" si="0"/>
        <v>607430</v>
      </c>
      <c r="K7" s="384">
        <v>330750</v>
      </c>
      <c r="L7" s="384">
        <v>555560</v>
      </c>
      <c r="M7" s="384">
        <f t="shared" si="1"/>
        <v>886310</v>
      </c>
      <c r="N7" s="384">
        <f t="shared" ref="N7:N44" si="2">F7+J7+M7</f>
        <v>3981850</v>
      </c>
      <c r="O7" s="17"/>
      <c r="P7" s="27"/>
    </row>
    <row r="8" spans="1:16">
      <c r="A8" t="s">
        <v>44</v>
      </c>
      <c r="B8" s="27">
        <v>522150</v>
      </c>
      <c r="C8" s="27">
        <v>153000</v>
      </c>
      <c r="D8" s="27">
        <v>1517480</v>
      </c>
      <c r="E8" s="27">
        <v>30000</v>
      </c>
      <c r="F8" s="27">
        <f t="shared" ref="F8:F28" si="3">SUM(B8:E8)</f>
        <v>2222630</v>
      </c>
      <c r="G8" s="27">
        <v>174580</v>
      </c>
      <c r="H8" s="27">
        <v>325125</v>
      </c>
      <c r="I8" s="27">
        <v>25220</v>
      </c>
      <c r="J8" s="384">
        <f t="shared" si="0"/>
        <v>524925</v>
      </c>
      <c r="K8" s="384">
        <v>275500</v>
      </c>
      <c r="L8" s="384">
        <v>417200</v>
      </c>
      <c r="M8" s="384">
        <f t="shared" si="1"/>
        <v>692700</v>
      </c>
      <c r="N8" s="384">
        <f t="shared" si="2"/>
        <v>3440255</v>
      </c>
      <c r="O8" s="17"/>
      <c r="P8" s="27"/>
    </row>
    <row r="9" spans="1:16">
      <c r="A9" t="s">
        <v>45</v>
      </c>
      <c r="B9" s="27">
        <v>454500</v>
      </c>
      <c r="C9" s="27">
        <v>166800</v>
      </c>
      <c r="D9" s="27">
        <v>1567980</v>
      </c>
      <c r="E9" s="27">
        <v>25000</v>
      </c>
      <c r="F9" s="27">
        <f t="shared" si="3"/>
        <v>2214280</v>
      </c>
      <c r="G9" s="27">
        <v>176540</v>
      </c>
      <c r="H9" s="27">
        <v>362275</v>
      </c>
      <c r="I9" s="27">
        <v>25630</v>
      </c>
      <c r="J9" s="384">
        <f t="shared" si="0"/>
        <v>564445</v>
      </c>
      <c r="K9" s="384">
        <v>198550</v>
      </c>
      <c r="L9" s="384">
        <v>318255</v>
      </c>
      <c r="M9" s="384">
        <f t="shared" si="1"/>
        <v>516805</v>
      </c>
      <c r="N9" s="384">
        <f t="shared" si="2"/>
        <v>3295530</v>
      </c>
      <c r="O9" s="17"/>
      <c r="P9" s="27"/>
    </row>
    <row r="10" spans="1:16">
      <c r="A10" t="s">
        <v>46</v>
      </c>
      <c r="B10" s="27">
        <v>648550</v>
      </c>
      <c r="C10" s="27">
        <v>246400</v>
      </c>
      <c r="D10" s="27">
        <v>2160000</v>
      </c>
      <c r="E10" s="27">
        <v>39150</v>
      </c>
      <c r="F10" s="27">
        <f t="shared" si="3"/>
        <v>3094100</v>
      </c>
      <c r="G10" s="27">
        <v>189200</v>
      </c>
      <c r="H10" s="27">
        <v>371295</v>
      </c>
      <c r="I10" s="27">
        <v>32190</v>
      </c>
      <c r="J10" s="384">
        <f t="shared" si="0"/>
        <v>592685</v>
      </c>
      <c r="K10" s="384">
        <v>269660</v>
      </c>
      <c r="L10" s="384">
        <v>449500</v>
      </c>
      <c r="M10" s="384">
        <f t="shared" si="1"/>
        <v>719160</v>
      </c>
      <c r="N10" s="384">
        <f t="shared" si="2"/>
        <v>4405945</v>
      </c>
      <c r="O10" s="17"/>
      <c r="P10" s="27"/>
    </row>
    <row r="11" spans="1:16">
      <c r="A11" t="s">
        <v>47</v>
      </c>
      <c r="B11" s="27">
        <v>590000</v>
      </c>
      <c r="C11" s="27">
        <v>216000</v>
      </c>
      <c r="D11" s="27">
        <v>1921320</v>
      </c>
      <c r="E11" s="27">
        <v>34200</v>
      </c>
      <c r="F11" s="27">
        <f t="shared" si="3"/>
        <v>2761520</v>
      </c>
      <c r="G11" s="27">
        <v>170980</v>
      </c>
      <c r="H11" s="27">
        <v>422625</v>
      </c>
      <c r="I11" s="27">
        <v>31992</v>
      </c>
      <c r="J11" s="384">
        <f t="shared" si="0"/>
        <v>625597</v>
      </c>
      <c r="K11" s="384">
        <v>283680</v>
      </c>
      <c r="L11" s="384">
        <v>451990</v>
      </c>
      <c r="M11" s="384">
        <f t="shared" si="1"/>
        <v>735670</v>
      </c>
      <c r="N11" s="384">
        <f t="shared" si="2"/>
        <v>4122787</v>
      </c>
      <c r="O11" s="17"/>
      <c r="P11" s="27"/>
    </row>
    <row r="12" spans="1:16">
      <c r="A12" t="s">
        <v>48</v>
      </c>
      <c r="B12" s="27">
        <v>494940</v>
      </c>
      <c r="C12" s="27">
        <v>233160</v>
      </c>
      <c r="D12" s="27">
        <v>1632575</v>
      </c>
      <c r="E12" s="27">
        <v>25530</v>
      </c>
      <c r="F12" s="27">
        <f t="shared" si="3"/>
        <v>2386205</v>
      </c>
      <c r="G12" s="27">
        <v>180840</v>
      </c>
      <c r="H12" s="27">
        <v>385000</v>
      </c>
      <c r="I12" s="27">
        <v>28700</v>
      </c>
      <c r="J12" s="384">
        <f t="shared" si="0"/>
        <v>594540</v>
      </c>
      <c r="K12" s="384">
        <v>275900</v>
      </c>
      <c r="L12" s="384">
        <v>440440</v>
      </c>
      <c r="M12" s="384">
        <f t="shared" si="1"/>
        <v>716340</v>
      </c>
      <c r="N12" s="384">
        <f t="shared" si="2"/>
        <v>3697085</v>
      </c>
      <c r="O12" s="17"/>
      <c r="P12" s="27"/>
    </row>
    <row r="13" spans="1:16">
      <c r="A13" t="s">
        <v>49</v>
      </c>
      <c r="B13" s="27">
        <v>465300</v>
      </c>
      <c r="C13" s="27">
        <v>215800</v>
      </c>
      <c r="D13" s="27">
        <v>1575000</v>
      </c>
      <c r="E13" s="27">
        <v>31200</v>
      </c>
      <c r="F13" s="27">
        <f t="shared" si="3"/>
        <v>2287300</v>
      </c>
      <c r="G13" s="27">
        <v>222750</v>
      </c>
      <c r="H13" s="27">
        <v>441000</v>
      </c>
      <c r="I13" s="27">
        <v>29760</v>
      </c>
      <c r="J13" s="384">
        <f t="shared" si="0"/>
        <v>693510</v>
      </c>
      <c r="K13" s="384">
        <v>243000</v>
      </c>
      <c r="L13" s="384">
        <v>392200</v>
      </c>
      <c r="M13" s="384">
        <f t="shared" si="1"/>
        <v>635200</v>
      </c>
      <c r="N13" s="384">
        <f t="shared" si="2"/>
        <v>3616010</v>
      </c>
      <c r="O13" s="17"/>
      <c r="P13" s="27"/>
    </row>
    <row r="14" spans="1:16">
      <c r="A14" t="s">
        <v>50</v>
      </c>
      <c r="B14" s="27">
        <v>561680</v>
      </c>
      <c r="C14" s="27">
        <v>228600</v>
      </c>
      <c r="D14" s="27">
        <v>1801550</v>
      </c>
      <c r="E14" s="27">
        <v>32110</v>
      </c>
      <c r="F14" s="27">
        <f t="shared" si="3"/>
        <v>2623940</v>
      </c>
      <c r="G14" s="27">
        <v>225040</v>
      </c>
      <c r="H14" s="27">
        <v>417500</v>
      </c>
      <c r="I14" s="27">
        <v>30552</v>
      </c>
      <c r="J14" s="384">
        <f t="shared" si="0"/>
        <v>673092</v>
      </c>
      <c r="K14" s="384">
        <v>263900</v>
      </c>
      <c r="L14" s="384">
        <v>419985</v>
      </c>
      <c r="M14" s="384">
        <f t="shared" si="1"/>
        <v>683885</v>
      </c>
      <c r="N14" s="384">
        <f t="shared" si="2"/>
        <v>3980917</v>
      </c>
      <c r="O14" s="17"/>
      <c r="P14" s="27"/>
    </row>
    <row r="15" spans="1:16">
      <c r="A15" t="s">
        <v>51</v>
      </c>
      <c r="B15" s="27">
        <v>537750</v>
      </c>
      <c r="C15" s="27">
        <v>214890</v>
      </c>
      <c r="D15" s="27">
        <v>1849500</v>
      </c>
      <c r="E15" s="27">
        <v>32500</v>
      </c>
      <c r="F15" s="27">
        <f t="shared" si="3"/>
        <v>2634640</v>
      </c>
      <c r="G15" s="27">
        <v>210700</v>
      </c>
      <c r="H15" s="27">
        <v>484700</v>
      </c>
      <c r="I15" s="27">
        <v>43680</v>
      </c>
      <c r="J15" s="384">
        <f t="shared" si="0"/>
        <v>739080</v>
      </c>
      <c r="K15" s="384">
        <v>246155</v>
      </c>
      <c r="L15" s="384">
        <v>370120</v>
      </c>
      <c r="M15" s="384">
        <f t="shared" si="1"/>
        <v>616275</v>
      </c>
      <c r="N15" s="384">
        <f t="shared" si="2"/>
        <v>3989995</v>
      </c>
      <c r="O15" s="17"/>
      <c r="P15" s="27"/>
    </row>
    <row r="16" spans="1:16">
      <c r="A16" t="s">
        <v>52</v>
      </c>
      <c r="B16" s="27">
        <v>386560</v>
      </c>
      <c r="C16" s="27">
        <v>234000</v>
      </c>
      <c r="D16" s="27">
        <v>1347500</v>
      </c>
      <c r="E16" s="27">
        <v>30105</v>
      </c>
      <c r="F16" s="27">
        <f t="shared" si="3"/>
        <v>1998165</v>
      </c>
      <c r="G16" s="27">
        <v>235320</v>
      </c>
      <c r="H16" s="27">
        <v>534650</v>
      </c>
      <c r="I16" s="27">
        <v>50000</v>
      </c>
      <c r="J16" s="384">
        <f t="shared" si="0"/>
        <v>819970</v>
      </c>
      <c r="K16" s="384">
        <v>309915</v>
      </c>
      <c r="L16" s="384">
        <v>475600</v>
      </c>
      <c r="M16" s="384">
        <f t="shared" si="1"/>
        <v>785515</v>
      </c>
      <c r="N16" s="384">
        <f t="shared" si="2"/>
        <v>3603650</v>
      </c>
      <c r="O16" s="17"/>
      <c r="P16" s="27"/>
    </row>
    <row r="17" spans="1:16">
      <c r="A17" t="s">
        <v>53</v>
      </c>
      <c r="B17" s="27">
        <v>638485</v>
      </c>
      <c r="C17" s="27">
        <v>279660</v>
      </c>
      <c r="D17" s="27">
        <v>2228550</v>
      </c>
      <c r="E17" s="27">
        <v>33600</v>
      </c>
      <c r="F17" s="27">
        <f t="shared" si="3"/>
        <v>3180295</v>
      </c>
      <c r="G17" s="27">
        <v>243800</v>
      </c>
      <c r="H17" s="27">
        <v>682500</v>
      </c>
      <c r="I17" s="27">
        <v>51075</v>
      </c>
      <c r="J17" s="384">
        <f t="shared" si="0"/>
        <v>977375</v>
      </c>
      <c r="K17" s="384">
        <v>307200</v>
      </c>
      <c r="L17" s="384">
        <v>461700</v>
      </c>
      <c r="M17" s="384">
        <f t="shared" si="1"/>
        <v>768900</v>
      </c>
      <c r="N17" s="384">
        <f t="shared" si="2"/>
        <v>4926570</v>
      </c>
      <c r="O17" s="17"/>
      <c r="P17" s="27"/>
    </row>
    <row r="18" spans="1:16">
      <c r="A18" t="s">
        <v>74</v>
      </c>
      <c r="B18" s="27">
        <v>591180</v>
      </c>
      <c r="C18" s="27">
        <v>202510</v>
      </c>
      <c r="D18" s="27">
        <v>1820465</v>
      </c>
      <c r="E18" s="27">
        <v>32500</v>
      </c>
      <c r="F18" s="27">
        <f t="shared" si="3"/>
        <v>2646655</v>
      </c>
      <c r="G18" s="27">
        <v>236180</v>
      </c>
      <c r="H18" s="27">
        <v>680150</v>
      </c>
      <c r="I18" s="27">
        <v>58236</v>
      </c>
      <c r="J18" s="384">
        <f t="shared" si="0"/>
        <v>974566</v>
      </c>
      <c r="K18" s="384">
        <v>256215</v>
      </c>
      <c r="L18" s="384">
        <v>406980</v>
      </c>
      <c r="M18" s="384">
        <f t="shared" si="1"/>
        <v>663195</v>
      </c>
      <c r="N18" s="384">
        <f t="shared" si="2"/>
        <v>4284416</v>
      </c>
      <c r="O18" s="17"/>
      <c r="P18" s="27"/>
    </row>
    <row r="19" spans="1:16">
      <c r="A19" t="s">
        <v>55</v>
      </c>
      <c r="B19" s="27">
        <v>473220</v>
      </c>
      <c r="C19" s="27">
        <v>194880</v>
      </c>
      <c r="D19" s="27">
        <v>1383545</v>
      </c>
      <c r="E19" s="27">
        <v>24500</v>
      </c>
      <c r="F19" s="27">
        <f t="shared" si="3"/>
        <v>2076145</v>
      </c>
      <c r="G19" s="27">
        <v>233580</v>
      </c>
      <c r="H19" s="27">
        <v>550175</v>
      </c>
      <c r="I19" s="27">
        <v>56680</v>
      </c>
      <c r="J19" s="384">
        <f t="shared" si="0"/>
        <v>840435</v>
      </c>
      <c r="K19" s="384">
        <v>176250</v>
      </c>
      <c r="L19" s="384">
        <v>299585</v>
      </c>
      <c r="M19" s="384">
        <f t="shared" si="1"/>
        <v>475835</v>
      </c>
      <c r="N19" s="384">
        <f t="shared" si="2"/>
        <v>3392415</v>
      </c>
      <c r="O19" s="17"/>
      <c r="P19" s="27"/>
    </row>
    <row r="20" spans="1:16">
      <c r="A20" t="s">
        <v>56</v>
      </c>
      <c r="B20" s="27">
        <v>446220</v>
      </c>
      <c r="C20" s="27">
        <v>207480</v>
      </c>
      <c r="D20" s="27">
        <v>1862630</v>
      </c>
      <c r="E20" s="27">
        <v>36250</v>
      </c>
      <c r="F20" s="27">
        <f t="shared" si="3"/>
        <v>2552580</v>
      </c>
      <c r="G20" s="27">
        <v>261000</v>
      </c>
      <c r="H20" s="27">
        <v>605570</v>
      </c>
      <c r="I20" s="27">
        <v>51660</v>
      </c>
      <c r="J20" s="384">
        <f t="shared" si="0"/>
        <v>918230</v>
      </c>
      <c r="K20" s="384">
        <v>291180</v>
      </c>
      <c r="L20" s="384">
        <v>485465</v>
      </c>
      <c r="M20" s="384">
        <f t="shared" si="1"/>
        <v>776645</v>
      </c>
      <c r="N20" s="384">
        <f t="shared" si="2"/>
        <v>4247455</v>
      </c>
      <c r="O20" s="17"/>
      <c r="P20" s="27"/>
    </row>
    <row r="21" spans="1:16">
      <c r="A21" t="s">
        <v>57</v>
      </c>
      <c r="B21" s="27">
        <v>483360</v>
      </c>
      <c r="C21" s="27">
        <v>193590</v>
      </c>
      <c r="D21" s="27">
        <v>1414880</v>
      </c>
      <c r="E21" s="27">
        <v>30800</v>
      </c>
      <c r="F21" s="27">
        <f t="shared" si="3"/>
        <v>2122630</v>
      </c>
      <c r="G21" s="27">
        <v>201880</v>
      </c>
      <c r="H21" s="27">
        <v>540000</v>
      </c>
      <c r="I21" s="27">
        <v>43000</v>
      </c>
      <c r="J21" s="384">
        <f t="shared" si="0"/>
        <v>784880</v>
      </c>
      <c r="K21" s="384">
        <v>206925</v>
      </c>
      <c r="L21" s="384">
        <v>347040</v>
      </c>
      <c r="M21" s="384">
        <f t="shared" si="1"/>
        <v>553965</v>
      </c>
      <c r="N21" s="384">
        <f t="shared" si="2"/>
        <v>3461475</v>
      </c>
      <c r="O21" s="17"/>
      <c r="P21" s="27"/>
    </row>
    <row r="22" spans="1:16">
      <c r="A22" t="s">
        <v>75</v>
      </c>
      <c r="B22" s="27">
        <v>449805</v>
      </c>
      <c r="C22" s="27">
        <v>236160</v>
      </c>
      <c r="D22" s="27">
        <v>1433770</v>
      </c>
      <c r="E22" s="27">
        <v>32550</v>
      </c>
      <c r="F22" s="27">
        <f t="shared" si="3"/>
        <v>2152285</v>
      </c>
      <c r="G22" s="27">
        <v>195210</v>
      </c>
      <c r="H22" s="27">
        <v>689000</v>
      </c>
      <c r="I22" s="27">
        <v>37950</v>
      </c>
      <c r="J22" s="384">
        <f t="shared" si="0"/>
        <v>922160</v>
      </c>
      <c r="K22" s="384">
        <v>219260</v>
      </c>
      <c r="L22" s="384">
        <v>367500</v>
      </c>
      <c r="M22" s="384">
        <f t="shared" si="1"/>
        <v>586760</v>
      </c>
      <c r="N22" s="384">
        <f t="shared" si="2"/>
        <v>3661205</v>
      </c>
      <c r="O22" s="17"/>
      <c r="P22" s="27"/>
    </row>
    <row r="23" spans="1:16">
      <c r="A23" t="s">
        <v>59</v>
      </c>
      <c r="B23" s="27">
        <v>372490</v>
      </c>
      <c r="C23" s="27">
        <v>228060</v>
      </c>
      <c r="D23" s="27">
        <v>1333830</v>
      </c>
      <c r="E23" s="27">
        <v>30450</v>
      </c>
      <c r="F23" s="27">
        <f t="shared" si="3"/>
        <v>1964830</v>
      </c>
      <c r="G23" s="27">
        <v>184800</v>
      </c>
      <c r="H23" s="27">
        <v>822150</v>
      </c>
      <c r="I23" s="27">
        <v>46710</v>
      </c>
      <c r="J23" s="384">
        <f t="shared" si="0"/>
        <v>1053660</v>
      </c>
      <c r="K23" s="384">
        <v>191250</v>
      </c>
      <c r="L23" s="384">
        <v>329640</v>
      </c>
      <c r="M23" s="384">
        <f t="shared" si="1"/>
        <v>520890</v>
      </c>
      <c r="N23" s="384">
        <f t="shared" si="2"/>
        <v>3539380</v>
      </c>
      <c r="O23" s="17"/>
      <c r="P23" s="27"/>
    </row>
    <row r="24" spans="1:16">
      <c r="A24" t="s">
        <v>122</v>
      </c>
      <c r="B24" s="27">
        <v>432415</v>
      </c>
      <c r="C24" s="27">
        <v>233100</v>
      </c>
      <c r="D24" s="27">
        <v>1511655</v>
      </c>
      <c r="E24" s="27">
        <v>28175</v>
      </c>
      <c r="F24" s="27">
        <f t="shared" si="3"/>
        <v>2205345</v>
      </c>
      <c r="G24" s="27">
        <v>159750</v>
      </c>
      <c r="H24" s="27">
        <v>917900</v>
      </c>
      <c r="I24" s="27">
        <v>62040</v>
      </c>
      <c r="J24" s="384">
        <f t="shared" si="0"/>
        <v>1139690</v>
      </c>
      <c r="K24" s="384">
        <v>221250</v>
      </c>
      <c r="L24" s="384">
        <v>397155</v>
      </c>
      <c r="M24" s="384">
        <f t="shared" si="1"/>
        <v>618405</v>
      </c>
      <c r="N24" s="384">
        <f t="shared" si="2"/>
        <v>3963440</v>
      </c>
      <c r="O24" s="17"/>
      <c r="P24" s="27"/>
    </row>
    <row r="25" spans="1:16">
      <c r="A25" t="s">
        <v>123</v>
      </c>
      <c r="B25" s="27">
        <v>448050</v>
      </c>
      <c r="C25" s="27">
        <v>260380</v>
      </c>
      <c r="D25" s="27">
        <v>1400800</v>
      </c>
      <c r="E25" s="27">
        <v>25300</v>
      </c>
      <c r="F25" s="27">
        <f t="shared" si="3"/>
        <v>2134530</v>
      </c>
      <c r="G25" s="27">
        <v>189600</v>
      </c>
      <c r="H25" s="27">
        <v>926800</v>
      </c>
      <c r="I25" s="27">
        <v>61600</v>
      </c>
      <c r="J25" s="384">
        <f t="shared" si="0"/>
        <v>1178000</v>
      </c>
      <c r="K25" s="384">
        <v>218120</v>
      </c>
      <c r="L25" s="384">
        <v>298840</v>
      </c>
      <c r="M25" s="384">
        <f t="shared" si="1"/>
        <v>516960</v>
      </c>
      <c r="N25" s="384">
        <f t="shared" si="2"/>
        <v>3829490</v>
      </c>
      <c r="O25" s="17"/>
      <c r="P25" s="27"/>
    </row>
    <row r="26" spans="1:16">
      <c r="A26" s="62">
        <v>2000</v>
      </c>
      <c r="B26" s="70">
        <v>271180</v>
      </c>
      <c r="C26" s="70">
        <v>213710</v>
      </c>
      <c r="D26" s="70">
        <v>1328400</v>
      </c>
      <c r="E26" s="70">
        <v>29500</v>
      </c>
      <c r="F26" s="70">
        <f t="shared" si="3"/>
        <v>1842790</v>
      </c>
      <c r="G26" s="70">
        <v>120600</v>
      </c>
      <c r="H26" s="70">
        <v>698500</v>
      </c>
      <c r="I26" s="70">
        <v>54990</v>
      </c>
      <c r="J26" s="122">
        <f t="shared" si="0"/>
        <v>874090</v>
      </c>
      <c r="K26" s="122">
        <v>210375</v>
      </c>
      <c r="L26" s="122">
        <v>338250</v>
      </c>
      <c r="M26" s="122">
        <f t="shared" si="1"/>
        <v>548625</v>
      </c>
      <c r="N26" s="122">
        <f t="shared" si="2"/>
        <v>3265505</v>
      </c>
      <c r="O26" s="17"/>
      <c r="P26" s="27"/>
    </row>
    <row r="27" spans="1:16">
      <c r="A27" s="62">
        <v>2001</v>
      </c>
      <c r="B27" s="70">
        <v>532325</v>
      </c>
      <c r="C27" s="70">
        <v>250100</v>
      </c>
      <c r="D27" s="70">
        <v>1711620</v>
      </c>
      <c r="E27" s="70">
        <v>30600</v>
      </c>
      <c r="F27" s="70">
        <f t="shared" si="3"/>
        <v>2524645</v>
      </c>
      <c r="G27" s="70">
        <v>197890</v>
      </c>
      <c r="H27" s="70">
        <v>895900</v>
      </c>
      <c r="I27" s="70">
        <v>67044</v>
      </c>
      <c r="J27" s="122">
        <f t="shared" si="0"/>
        <v>1160834</v>
      </c>
      <c r="K27" s="122">
        <v>234750</v>
      </c>
      <c r="L27" s="122">
        <v>356475</v>
      </c>
      <c r="M27" s="122">
        <f t="shared" si="1"/>
        <v>591225</v>
      </c>
      <c r="N27" s="122">
        <f t="shared" si="2"/>
        <v>4276704</v>
      </c>
      <c r="O27" s="17"/>
      <c r="P27" s="27"/>
    </row>
    <row r="28" spans="1:16">
      <c r="A28" s="62">
        <v>2002</v>
      </c>
      <c r="B28" s="122">
        <v>379800</v>
      </c>
      <c r="C28" s="122">
        <v>197800</v>
      </c>
      <c r="D28" s="122">
        <v>1313000</v>
      </c>
      <c r="E28" s="122">
        <v>19140</v>
      </c>
      <c r="F28" s="122">
        <f t="shared" si="3"/>
        <v>1909740</v>
      </c>
      <c r="G28" s="122">
        <v>159600</v>
      </c>
      <c r="H28" s="122">
        <v>868000</v>
      </c>
      <c r="I28" s="122">
        <v>54000</v>
      </c>
      <c r="J28" s="122">
        <f t="shared" si="0"/>
        <v>1081600</v>
      </c>
      <c r="K28" s="122">
        <v>119700</v>
      </c>
      <c r="L28" s="122">
        <v>210000</v>
      </c>
      <c r="M28" s="122">
        <f t="shared" si="1"/>
        <v>329700</v>
      </c>
      <c r="N28" s="122">
        <f t="shared" si="2"/>
        <v>3321040</v>
      </c>
      <c r="O28" s="17"/>
      <c r="P28" s="27"/>
    </row>
    <row r="29" spans="1:16">
      <c r="A29" s="62">
        <v>2003</v>
      </c>
      <c r="B29" s="122">
        <v>508750</v>
      </c>
      <c r="C29" s="122">
        <v>345000</v>
      </c>
      <c r="D29" s="122">
        <v>1863000</v>
      </c>
      <c r="E29" s="122">
        <v>57800</v>
      </c>
      <c r="F29" s="122">
        <f>SUM(B29:E29)</f>
        <v>2774550</v>
      </c>
      <c r="G29" s="122">
        <v>98000</v>
      </c>
      <c r="H29" s="122">
        <v>810000</v>
      </c>
      <c r="I29" s="122">
        <v>45900</v>
      </c>
      <c r="J29" s="122">
        <f t="shared" si="0"/>
        <v>953900</v>
      </c>
      <c r="K29" s="122">
        <v>95700</v>
      </c>
      <c r="L29" s="122">
        <v>320000</v>
      </c>
      <c r="M29" s="122">
        <f t="shared" si="1"/>
        <v>415700</v>
      </c>
      <c r="N29" s="122">
        <f t="shared" si="2"/>
        <v>4144150</v>
      </c>
      <c r="O29" s="17"/>
      <c r="P29" s="27"/>
    </row>
    <row r="30" spans="1:16">
      <c r="A30" s="62">
        <v>2004</v>
      </c>
      <c r="B30" s="122">
        <v>557200</v>
      </c>
      <c r="C30" s="122">
        <v>364000</v>
      </c>
      <c r="D30" s="122">
        <v>1817800</v>
      </c>
      <c r="E30" s="122">
        <v>112200</v>
      </c>
      <c r="F30" s="122">
        <f>SUM(B30:E30)</f>
        <v>2851200</v>
      </c>
      <c r="G30" s="122">
        <v>102300</v>
      </c>
      <c r="H30" s="122">
        <v>803700</v>
      </c>
      <c r="I30" s="122">
        <v>59500</v>
      </c>
      <c r="J30" s="122">
        <f t="shared" si="0"/>
        <v>965500</v>
      </c>
      <c r="K30" s="122">
        <v>104000</v>
      </c>
      <c r="L30" s="122">
        <v>367500</v>
      </c>
      <c r="M30" s="122">
        <f t="shared" si="1"/>
        <v>471500</v>
      </c>
      <c r="N30" s="122">
        <f t="shared" si="2"/>
        <v>4288200</v>
      </c>
      <c r="O30" s="17"/>
      <c r="P30" s="27"/>
    </row>
    <row r="31" spans="1:16">
      <c r="A31" s="115">
        <v>2005</v>
      </c>
      <c r="B31" s="122">
        <v>613250</v>
      </c>
      <c r="C31" s="122">
        <v>410400</v>
      </c>
      <c r="D31" s="122">
        <v>2130000</v>
      </c>
      <c r="E31" s="122">
        <v>168000</v>
      </c>
      <c r="F31" s="122">
        <f>SUM(B31:E31)+44800</f>
        <v>3366450</v>
      </c>
      <c r="G31" s="122">
        <v>107910</v>
      </c>
      <c r="H31" s="122">
        <v>975000</v>
      </c>
      <c r="I31" s="122">
        <v>66500</v>
      </c>
      <c r="J31" s="122">
        <f t="shared" si="0"/>
        <v>1149410</v>
      </c>
      <c r="K31" s="122">
        <v>66000</v>
      </c>
      <c r="L31" s="122">
        <v>288000</v>
      </c>
      <c r="M31" s="122">
        <f t="shared" si="1"/>
        <v>354000</v>
      </c>
      <c r="N31" s="122">
        <f t="shared" si="2"/>
        <v>4869860</v>
      </c>
      <c r="O31" s="17"/>
      <c r="P31" s="27"/>
    </row>
    <row r="32" spans="1:16">
      <c r="A32" s="115">
        <v>2006</v>
      </c>
      <c r="B32" s="122">
        <v>407500</v>
      </c>
      <c r="C32" s="122">
        <v>300000</v>
      </c>
      <c r="D32" s="122">
        <v>1598500</v>
      </c>
      <c r="E32" s="122">
        <v>168000</v>
      </c>
      <c r="F32" s="122">
        <f>SUM(B32:E32)+46400</f>
        <v>2520400</v>
      </c>
      <c r="G32" s="122">
        <v>62700</v>
      </c>
      <c r="H32" s="122">
        <v>514750</v>
      </c>
      <c r="I32" s="122">
        <v>43200</v>
      </c>
      <c r="J32" s="122">
        <f t="shared" si="0"/>
        <v>620650</v>
      </c>
      <c r="K32" s="122">
        <v>54400</v>
      </c>
      <c r="L32" s="122">
        <v>268800</v>
      </c>
      <c r="M32" s="122">
        <f t="shared" si="1"/>
        <v>323200</v>
      </c>
      <c r="N32" s="122">
        <f t="shared" si="2"/>
        <v>3464250</v>
      </c>
      <c r="O32" s="17"/>
      <c r="P32" s="27"/>
    </row>
    <row r="33" spans="1:16">
      <c r="A33" s="115">
        <v>2007</v>
      </c>
      <c r="B33" s="122">
        <v>400350</v>
      </c>
      <c r="C33" s="122">
        <v>321300</v>
      </c>
      <c r="D33" s="122">
        <v>1622400</v>
      </c>
      <c r="E33" s="122">
        <v>173600</v>
      </c>
      <c r="F33" s="122">
        <f>SUM(B33:E33)+59400</f>
        <v>2577050</v>
      </c>
      <c r="G33" s="122">
        <v>57800</v>
      </c>
      <c r="H33" s="122">
        <v>691900</v>
      </c>
      <c r="I33" s="122">
        <v>32000</v>
      </c>
      <c r="J33" s="122">
        <f t="shared" si="0"/>
        <v>781700</v>
      </c>
      <c r="K33" s="122">
        <v>52500</v>
      </c>
      <c r="L33" s="122">
        <v>261000</v>
      </c>
      <c r="M33" s="122">
        <f t="shared" si="1"/>
        <v>313500</v>
      </c>
      <c r="N33" s="122">
        <f t="shared" si="2"/>
        <v>3672250</v>
      </c>
      <c r="O33" s="17"/>
      <c r="P33" s="27"/>
    </row>
    <row r="34" spans="1:16">
      <c r="A34" s="115">
        <v>2008</v>
      </c>
      <c r="B34" s="122">
        <v>675500</v>
      </c>
      <c r="C34" s="122">
        <v>448000</v>
      </c>
      <c r="D34" s="122">
        <v>2329000</v>
      </c>
      <c r="E34" s="122">
        <v>265200</v>
      </c>
      <c r="F34" s="122">
        <f>SUM(B34:E34)+81900</f>
        <v>3799600</v>
      </c>
      <c r="G34" s="122">
        <v>63000</v>
      </c>
      <c r="H34" s="122">
        <v>834900</v>
      </c>
      <c r="I34" s="122">
        <v>25600</v>
      </c>
      <c r="J34" s="122">
        <f t="shared" si="0"/>
        <v>923500</v>
      </c>
      <c r="K34" s="122">
        <v>80400</v>
      </c>
      <c r="L34" s="122">
        <v>358900</v>
      </c>
      <c r="M34" s="122">
        <f t="shared" si="1"/>
        <v>439300</v>
      </c>
      <c r="N34" s="122">
        <f t="shared" si="2"/>
        <v>5162400</v>
      </c>
      <c r="O34" s="17"/>
      <c r="P34" s="27"/>
    </row>
    <row r="35" spans="1:16">
      <c r="A35" s="115">
        <v>2009</v>
      </c>
      <c r="B35" s="122">
        <v>495000</v>
      </c>
      <c r="C35" s="122">
        <v>336000</v>
      </c>
      <c r="D35" s="122">
        <v>1797800</v>
      </c>
      <c r="E35" s="122">
        <v>148800</v>
      </c>
      <c r="F35" s="122">
        <f>SUM(B35:E35)+54000</f>
        <v>2831600</v>
      </c>
      <c r="G35" s="122">
        <v>42900</v>
      </c>
      <c r="H35" s="122">
        <v>506850</v>
      </c>
      <c r="I35" s="122">
        <v>21700</v>
      </c>
      <c r="J35" s="122">
        <f t="shared" si="0"/>
        <v>571450</v>
      </c>
      <c r="K35" s="122">
        <v>44400</v>
      </c>
      <c r="L35" s="122">
        <v>244200</v>
      </c>
      <c r="M35" s="122">
        <f t="shared" si="1"/>
        <v>288600</v>
      </c>
      <c r="N35" s="122">
        <f t="shared" si="2"/>
        <v>3691650</v>
      </c>
      <c r="O35" s="17"/>
      <c r="P35" s="27"/>
    </row>
    <row r="36" spans="1:16">
      <c r="A36" s="115">
        <v>2010</v>
      </c>
      <c r="B36" s="122">
        <v>481000</v>
      </c>
      <c r="C36" s="122">
        <v>472500</v>
      </c>
      <c r="D36" s="122">
        <v>1959150</v>
      </c>
      <c r="E36" s="122">
        <v>224000</v>
      </c>
      <c r="F36" s="122">
        <f>SUM(B36:E36)+63000</f>
        <v>3199650</v>
      </c>
      <c r="G36" s="122">
        <v>70350</v>
      </c>
      <c r="H36" s="122">
        <v>586800</v>
      </c>
      <c r="I36" s="122">
        <v>34000</v>
      </c>
      <c r="J36" s="122">
        <f t="shared" si="0"/>
        <v>691150</v>
      </c>
      <c r="K36" s="122">
        <v>33840</v>
      </c>
      <c r="L36" s="122">
        <v>232200</v>
      </c>
      <c r="M36" s="122">
        <f t="shared" si="1"/>
        <v>266040</v>
      </c>
      <c r="N36" s="122">
        <f t="shared" si="2"/>
        <v>4156840</v>
      </c>
      <c r="O36" s="17"/>
      <c r="P36" s="27"/>
    </row>
    <row r="37" spans="1:16">
      <c r="A37" s="115">
        <v>2011</v>
      </c>
      <c r="B37" s="122">
        <v>489700</v>
      </c>
      <c r="C37" s="122">
        <v>549500</v>
      </c>
      <c r="D37" s="122">
        <v>1645750</v>
      </c>
      <c r="E37" s="122">
        <v>240900</v>
      </c>
      <c r="F37" s="122">
        <f>SUM(B37:E37)+56000</f>
        <v>2981850</v>
      </c>
      <c r="G37" s="122">
        <v>54600</v>
      </c>
      <c r="H37" s="122">
        <v>249240</v>
      </c>
      <c r="I37" s="122">
        <v>19800</v>
      </c>
      <c r="J37" s="122">
        <f t="shared" si="0"/>
        <v>323640</v>
      </c>
      <c r="K37" s="122">
        <v>61500</v>
      </c>
      <c r="L37" s="122">
        <v>291600</v>
      </c>
      <c r="M37" s="122">
        <f t="shared" si="1"/>
        <v>353100</v>
      </c>
      <c r="N37" s="122">
        <f t="shared" si="2"/>
        <v>3658590</v>
      </c>
      <c r="O37" s="17"/>
      <c r="P37" s="27"/>
    </row>
    <row r="38" spans="1:16">
      <c r="A38" s="115">
        <v>2012</v>
      </c>
      <c r="B38" s="122">
        <v>876000</v>
      </c>
      <c r="C38" s="122">
        <v>760500</v>
      </c>
      <c r="D38" s="122">
        <v>3343400</v>
      </c>
      <c r="E38" s="122">
        <v>417300</v>
      </c>
      <c r="F38" s="122">
        <f>SUM(B38:E38)+215600</f>
        <v>5612800</v>
      </c>
      <c r="G38" s="122">
        <v>80300</v>
      </c>
      <c r="H38" s="122">
        <v>525600</v>
      </c>
      <c r="I38" s="122">
        <v>26000</v>
      </c>
      <c r="J38" s="122">
        <f t="shared" si="0"/>
        <v>631900</v>
      </c>
      <c r="K38" s="122">
        <v>82000</v>
      </c>
      <c r="L38" s="122">
        <v>427180</v>
      </c>
      <c r="M38" s="122">
        <f t="shared" si="1"/>
        <v>509180</v>
      </c>
      <c r="N38" s="122">
        <f t="shared" si="2"/>
        <v>6753880</v>
      </c>
      <c r="O38" s="17"/>
      <c r="P38" s="27"/>
    </row>
    <row r="39" spans="1:16">
      <c r="A39" s="115">
        <v>2013</v>
      </c>
      <c r="B39" s="122">
        <v>489900</v>
      </c>
      <c r="C39" s="122">
        <v>517450</v>
      </c>
      <c r="D39" s="122">
        <v>1887180</v>
      </c>
      <c r="E39" s="122">
        <v>273000</v>
      </c>
      <c r="F39" s="122">
        <f>SUM(B39:E39)+122100</f>
        <v>3289630</v>
      </c>
      <c r="G39" s="122">
        <v>59200</v>
      </c>
      <c r="H39" s="122">
        <v>423540</v>
      </c>
      <c r="I39" s="122">
        <v>21700</v>
      </c>
      <c r="J39" s="122">
        <f t="shared" si="0"/>
        <v>504440</v>
      </c>
      <c r="K39" s="122">
        <v>63200</v>
      </c>
      <c r="L39" s="122">
        <v>315900</v>
      </c>
      <c r="M39" s="122">
        <f t="shared" si="1"/>
        <v>379100</v>
      </c>
      <c r="N39" s="122">
        <f t="shared" si="2"/>
        <v>4173170</v>
      </c>
      <c r="O39" s="17"/>
      <c r="P39" s="27"/>
    </row>
    <row r="40" spans="1:16">
      <c r="A40" s="115">
        <v>2014</v>
      </c>
      <c r="B40" s="211">
        <v>544950</v>
      </c>
      <c r="C40" s="211">
        <v>668000</v>
      </c>
      <c r="D40" s="211">
        <v>2435515</v>
      </c>
      <c r="E40" s="211">
        <v>410400</v>
      </c>
      <c r="F40" s="211">
        <f>SUM(B40:E40)+124000</f>
        <v>4182865</v>
      </c>
      <c r="G40" s="211">
        <v>44000</v>
      </c>
      <c r="H40" s="211">
        <v>459740</v>
      </c>
      <c r="I40" s="211">
        <v>15750</v>
      </c>
      <c r="J40" s="122">
        <f t="shared" si="0"/>
        <v>519490</v>
      </c>
      <c r="K40" s="122">
        <v>84550</v>
      </c>
      <c r="L40" s="122">
        <v>401760</v>
      </c>
      <c r="M40" s="122">
        <f t="shared" si="1"/>
        <v>486310</v>
      </c>
      <c r="N40" s="122">
        <f t="shared" si="2"/>
        <v>5188665</v>
      </c>
      <c r="O40" s="17"/>
      <c r="P40" s="27"/>
    </row>
    <row r="41" spans="1:16">
      <c r="A41" s="115">
        <v>2015</v>
      </c>
      <c r="B41" s="211">
        <v>637000</v>
      </c>
      <c r="C41" s="211">
        <v>648000</v>
      </c>
      <c r="D41" s="211">
        <v>3364410</v>
      </c>
      <c r="E41" s="211">
        <v>262400</v>
      </c>
      <c r="F41" s="211">
        <f>SUM(B41:E41)+143500</f>
        <v>5055310</v>
      </c>
      <c r="G41" s="211">
        <v>30600</v>
      </c>
      <c r="H41" s="211">
        <v>528000</v>
      </c>
      <c r="I41" s="211">
        <v>15337</v>
      </c>
      <c r="J41" s="122">
        <f>SUM(G41:I41)</f>
        <v>573937</v>
      </c>
      <c r="K41" s="122">
        <v>69350</v>
      </c>
      <c r="L41" s="122">
        <v>302760</v>
      </c>
      <c r="M41" s="122">
        <f>SUM(K41:L41)</f>
        <v>372110</v>
      </c>
      <c r="N41" s="122">
        <f t="shared" si="2"/>
        <v>6001357</v>
      </c>
      <c r="O41" s="17"/>
      <c r="P41" s="27"/>
    </row>
    <row r="42" spans="1:16">
      <c r="A42" s="115">
        <v>2016</v>
      </c>
      <c r="B42" s="211">
        <v>619200</v>
      </c>
      <c r="C42" s="211">
        <v>554800</v>
      </c>
      <c r="D42" s="211">
        <v>2753400</v>
      </c>
      <c r="E42" s="211">
        <v>339200</v>
      </c>
      <c r="F42" s="211">
        <f>SUM(B42:E42)+152000</f>
        <v>4418600</v>
      </c>
      <c r="G42" s="211">
        <v>44400</v>
      </c>
      <c r="H42" s="211">
        <v>559650</v>
      </c>
      <c r="I42" s="211">
        <v>22400</v>
      </c>
      <c r="J42" s="122">
        <f>SUM(G42:I42)+110400</f>
        <v>736850</v>
      </c>
      <c r="K42" s="122">
        <v>76650</v>
      </c>
      <c r="L42" s="122">
        <v>349470</v>
      </c>
      <c r="M42" s="122">
        <f>SUM(K42:L42)</f>
        <v>426120</v>
      </c>
      <c r="N42" s="122">
        <f t="shared" si="2"/>
        <v>5581570</v>
      </c>
      <c r="O42" s="17"/>
      <c r="P42" s="27"/>
    </row>
    <row r="43" spans="1:16">
      <c r="A43" s="115">
        <v>2017</v>
      </c>
      <c r="B43" s="211">
        <v>704450</v>
      </c>
      <c r="C43" s="211">
        <v>638250</v>
      </c>
      <c r="D43" s="211">
        <v>3572250</v>
      </c>
      <c r="E43" s="211">
        <v>472000</v>
      </c>
      <c r="F43" s="211">
        <f>SUM(B43:E43)+172000</f>
        <v>5558950</v>
      </c>
      <c r="G43" s="211">
        <v>79380</v>
      </c>
      <c r="H43" s="211">
        <v>697200</v>
      </c>
      <c r="I43" s="211">
        <v>26600</v>
      </c>
      <c r="J43" s="122">
        <f>SUM(G43:I43)+153700</f>
        <v>956880</v>
      </c>
      <c r="K43" s="122">
        <v>119880</v>
      </c>
      <c r="L43" s="122">
        <v>479700</v>
      </c>
      <c r="M43" s="122">
        <f>SUM(K43:L43)</f>
        <v>599580</v>
      </c>
      <c r="N43" s="122">
        <f t="shared" si="2"/>
        <v>7115410</v>
      </c>
      <c r="O43" s="17"/>
      <c r="P43" s="27"/>
    </row>
    <row r="44" spans="1:16">
      <c r="A44" s="118">
        <v>2018</v>
      </c>
      <c r="B44" s="253">
        <v>550800</v>
      </c>
      <c r="C44" s="253">
        <v>504000</v>
      </c>
      <c r="D44" s="253">
        <v>2892500</v>
      </c>
      <c r="E44" s="253">
        <v>278800</v>
      </c>
      <c r="F44" s="253">
        <f>SUM(B44:E44)+96000</f>
        <v>4322100</v>
      </c>
      <c r="G44" s="253">
        <v>46500</v>
      </c>
      <c r="H44" s="253">
        <v>478500</v>
      </c>
      <c r="I44" s="253">
        <v>16500</v>
      </c>
      <c r="J44" s="109">
        <f>SUM(G44:I44)+115000</f>
        <v>656500</v>
      </c>
      <c r="K44" s="109">
        <v>100800</v>
      </c>
      <c r="L44" s="109">
        <v>382200</v>
      </c>
      <c r="M44" s="109">
        <f>SUM(K44:L44)</f>
        <v>483000</v>
      </c>
      <c r="N44" s="109">
        <f t="shared" si="2"/>
        <v>5461600</v>
      </c>
      <c r="O44" s="17"/>
      <c r="P44" s="27"/>
    </row>
    <row r="45" spans="1:16">
      <c r="A45" s="129" t="s">
        <v>504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67"/>
      <c r="P45" s="27"/>
    </row>
    <row r="46" spans="1:16" ht="13.2" customHeight="1">
      <c r="A46" s="107" t="s">
        <v>529</v>
      </c>
      <c r="O46" s="67"/>
    </row>
    <row r="47" spans="1:16">
      <c r="N47" s="269" t="s">
        <v>679</v>
      </c>
      <c r="O47" s="67"/>
    </row>
    <row r="48" spans="1:16">
      <c r="O48" s="67"/>
    </row>
  </sheetData>
  <mergeCells count="1">
    <mergeCell ref="K2:M2"/>
  </mergeCells>
  <phoneticPr fontId="0" type="noConversion"/>
  <pageMargins left="0.7" right="0.7" top="0.75" bottom="0.75" header="0.3" footer="0.3"/>
  <pageSetup scale="21" firstPageNumber="42" orientation="portrait" useFirstPageNumber="1" r:id="rId1"/>
  <headerFooter alignWithMargins="0">
    <oddFooter>&amp;C&amp;P
Oil Crops Yearbook/OCS-2018
March 2018
Economic Research Service, USDA</oddFooter>
  </headerFooter>
  <ignoredErrors>
    <ignoredError sqref="F26:F44" formulaRange="1"/>
    <ignoredError sqref="A6:A25" numberStoredAsText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47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7.42578125" customWidth="1"/>
    <col min="2" max="14" width="8.42578125" customWidth="1"/>
  </cols>
  <sheetData>
    <row r="1" spans="1:15">
      <c r="A1" s="114" t="s">
        <v>622</v>
      </c>
      <c r="B1" s="1"/>
      <c r="C1" s="1"/>
      <c r="D1" s="1"/>
      <c r="E1" s="1"/>
      <c r="F1" s="1"/>
      <c r="G1" s="1"/>
      <c r="H1" s="1"/>
      <c r="I1" s="1"/>
      <c r="J1" s="1"/>
      <c r="K1" s="1" t="s">
        <v>61</v>
      </c>
      <c r="L1" s="1" t="s">
        <v>61</v>
      </c>
      <c r="M1" s="1"/>
      <c r="N1" s="1" t="s">
        <v>61</v>
      </c>
    </row>
    <row r="2" spans="1:15">
      <c r="A2" t="s">
        <v>120</v>
      </c>
      <c r="B2" s="383"/>
      <c r="C2" s="283"/>
      <c r="D2" s="279" t="s">
        <v>127</v>
      </c>
      <c r="E2" s="279"/>
      <c r="F2" s="382"/>
      <c r="G2" s="279"/>
      <c r="H2" s="187" t="s">
        <v>126</v>
      </c>
      <c r="I2" s="279"/>
      <c r="J2" s="382"/>
      <c r="K2" s="3"/>
      <c r="L2" s="279" t="s">
        <v>125</v>
      </c>
      <c r="M2" s="382"/>
      <c r="N2" s="282" t="s">
        <v>137</v>
      </c>
    </row>
    <row r="3" spans="1:15">
      <c r="A3" s="1" t="s">
        <v>121</v>
      </c>
      <c r="B3" s="371" t="s">
        <v>128</v>
      </c>
      <c r="C3" s="283" t="s">
        <v>129</v>
      </c>
      <c r="D3" s="283" t="s">
        <v>130</v>
      </c>
      <c r="E3" s="283" t="s">
        <v>131</v>
      </c>
      <c r="F3" s="369" t="s">
        <v>176</v>
      </c>
      <c r="G3" s="283" t="s">
        <v>132</v>
      </c>
      <c r="H3" s="283" t="s">
        <v>133</v>
      </c>
      <c r="I3" s="283" t="s">
        <v>134</v>
      </c>
      <c r="J3" s="369" t="s">
        <v>503</v>
      </c>
      <c r="K3" s="283" t="s">
        <v>135</v>
      </c>
      <c r="L3" s="283" t="s">
        <v>136</v>
      </c>
      <c r="M3" s="369" t="s">
        <v>3</v>
      </c>
      <c r="N3" s="283" t="s">
        <v>138</v>
      </c>
    </row>
    <row r="4" spans="1:15">
      <c r="C4" s="268"/>
      <c r="D4" s="268"/>
      <c r="E4" s="268"/>
      <c r="F4" s="268"/>
      <c r="G4" s="268"/>
      <c r="H4" s="268" t="s">
        <v>95</v>
      </c>
      <c r="I4" s="268"/>
      <c r="J4" s="268"/>
      <c r="K4" s="268"/>
      <c r="L4" s="268"/>
      <c r="M4" s="268"/>
      <c r="N4" s="268"/>
    </row>
    <row r="5" spans="1: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>
      <c r="A6" t="s">
        <v>42</v>
      </c>
      <c r="B6" s="67">
        <f>'tab 14'!B6/'tab 13'!B6</f>
        <v>1325</v>
      </c>
      <c r="C6" s="67">
        <f>'tab 14'!C6/'tab 13'!C6</f>
        <v>2580</v>
      </c>
      <c r="D6" s="67">
        <f>'tab 14'!D6/'tab 13'!D6</f>
        <v>1935</v>
      </c>
      <c r="E6" s="67">
        <f>'tab 14'!E6/'tab 13'!E6</f>
        <v>1100</v>
      </c>
      <c r="F6" s="67">
        <f>'tab 14'!F6/'tab 13'!F6</f>
        <v>1807.1863117870723</v>
      </c>
      <c r="G6" s="67">
        <f>'tab 14'!G6/'tab 13'!G6</f>
        <v>1335</v>
      </c>
      <c r="H6" s="67">
        <f>'tab 14'!H6/'tab 13'!H6</f>
        <v>1275</v>
      </c>
      <c r="I6" s="67">
        <f>'tab 14'!I6/'tab 13'!I6</f>
        <v>2540</v>
      </c>
      <c r="J6" s="67">
        <f>'tab 14'!J6/'tab 13'!J6</f>
        <v>1325.7038976148924</v>
      </c>
      <c r="K6" s="67">
        <f>'tab 14'!K6/'tab 13'!K6</f>
        <v>1350</v>
      </c>
      <c r="L6" s="67">
        <f>'tab 14'!L6/'tab 13'!L6</f>
        <v>1755</v>
      </c>
      <c r="M6" s="67">
        <f>'tab 14'!M6/'tab 13'!M6</f>
        <v>1601.7977528089887</v>
      </c>
      <c r="N6" s="67">
        <f>'tab 14'!N6/'tab 13'!N6</f>
        <v>1649.7549649949992</v>
      </c>
      <c r="O6" s="17"/>
    </row>
    <row r="7" spans="1:15">
      <c r="A7" t="s">
        <v>43</v>
      </c>
      <c r="B7" s="67">
        <f>'tab 14'!B7/'tab 13'!B7</f>
        <v>2715</v>
      </c>
      <c r="C7" s="67">
        <f>'tab 14'!C7/'tab 13'!C7</f>
        <v>2970</v>
      </c>
      <c r="D7" s="67">
        <f>'tab 14'!D7/'tab 13'!D7</f>
        <v>2930</v>
      </c>
      <c r="E7" s="67">
        <f>'tab 14'!E7/'tab 13'!E7</f>
        <v>2600</v>
      </c>
      <c r="F7" s="67">
        <f>'tab 14'!F7/'tab 13'!F7</f>
        <v>2864.1763554736963</v>
      </c>
      <c r="G7" s="67">
        <f>'tab 14'!G7/'tab 13'!G7</f>
        <v>2080</v>
      </c>
      <c r="H7" s="67">
        <f>'tab 14'!H7/'tab 13'!H7</f>
        <v>1625</v>
      </c>
      <c r="I7" s="67">
        <f>'tab 14'!I7/'tab 13'!I7</f>
        <v>2490</v>
      </c>
      <c r="J7" s="67">
        <f>'tab 14'!J7/'tab 13'!J7</f>
        <v>1770.9329446064139</v>
      </c>
      <c r="K7" s="67">
        <f>'tab 14'!K7/'tab 13'!K7</f>
        <v>3150</v>
      </c>
      <c r="L7" s="67">
        <f>'tab 14'!L7/'tab 13'!L7</f>
        <v>3230</v>
      </c>
      <c r="M7" s="67">
        <f>'tab 14'!M7/'tab 13'!M7</f>
        <v>3199.6750902527074</v>
      </c>
      <c r="N7" s="67">
        <f>'tab 14'!N7/'tab 13'!N7</f>
        <v>2674.7161953382147</v>
      </c>
      <c r="O7" s="17"/>
    </row>
    <row r="8" spans="1:15">
      <c r="A8" t="s">
        <v>44</v>
      </c>
      <c r="B8" s="67">
        <f>'tab 14'!B8/'tab 13'!B8</f>
        <v>2950</v>
      </c>
      <c r="C8" s="67">
        <f>'tab 14'!C8/'tab 13'!C8</f>
        <v>3000</v>
      </c>
      <c r="D8" s="67">
        <f>'tab 14'!D8/'tab 13'!D8</f>
        <v>3215</v>
      </c>
      <c r="E8" s="67">
        <f>'tab 14'!E8/'tab 13'!E8</f>
        <v>2500</v>
      </c>
      <c r="F8" s="67">
        <f>'tab 14'!F8/'tab 13'!F8</f>
        <v>3121.6713483146068</v>
      </c>
      <c r="G8" s="67">
        <f>'tab 14'!G8/'tab 13'!G8</f>
        <v>2030</v>
      </c>
      <c r="H8" s="67">
        <f>'tab 14'!H8/'tab 13'!H8</f>
        <v>1445</v>
      </c>
      <c r="I8" s="67">
        <f>'tab 14'!I8/'tab 13'!I8</f>
        <v>2425</v>
      </c>
      <c r="J8" s="67">
        <f>'tab 14'!J8/'tab 13'!J8</f>
        <v>1633.2451773490977</v>
      </c>
      <c r="K8" s="67">
        <f>'tab 14'!K8/'tab 13'!K8</f>
        <v>2900</v>
      </c>
      <c r="L8" s="67">
        <f>'tab 14'!L8/'tab 13'!L8</f>
        <v>2800</v>
      </c>
      <c r="M8" s="67">
        <f>'tab 14'!M8/'tab 13'!M8</f>
        <v>2838.9344262295081</v>
      </c>
      <c r="N8" s="67">
        <f>'tab 14'!N8/'tab 13'!N8</f>
        <v>2693.1697197432281</v>
      </c>
      <c r="O8" s="17"/>
    </row>
    <row r="9" spans="1:15">
      <c r="A9" t="s">
        <v>45</v>
      </c>
      <c r="B9" s="67">
        <f>'tab 14'!B9/'tab 13'!B9</f>
        <v>2525</v>
      </c>
      <c r="C9" s="67">
        <f>'tab 14'!C9/'tab 13'!C9</f>
        <v>2780</v>
      </c>
      <c r="D9" s="67">
        <f>'tab 14'!D9/'tab 13'!D9</f>
        <v>2790</v>
      </c>
      <c r="E9" s="67">
        <f>'tab 14'!E9/'tab 13'!E9</f>
        <v>2000</v>
      </c>
      <c r="F9" s="67">
        <f>'tab 14'!F9/'tab 13'!F9</f>
        <v>2718.5758133824434</v>
      </c>
      <c r="G9" s="67">
        <f>'tab 14'!G9/'tab 13'!G9</f>
        <v>1940</v>
      </c>
      <c r="H9" s="67">
        <f>'tab 14'!H9/'tab 13'!H9</f>
        <v>1685</v>
      </c>
      <c r="I9" s="67">
        <f>'tab 14'!I9/'tab 13'!I9</f>
        <v>2330</v>
      </c>
      <c r="J9" s="67">
        <f>'tab 14'!J9/'tab 13'!J9</f>
        <v>1780.5835962145111</v>
      </c>
      <c r="K9" s="67">
        <f>'tab 14'!K9/'tab 13'!K9</f>
        <v>2090</v>
      </c>
      <c r="L9" s="67">
        <f>'tab 14'!L9/'tab 13'!L9</f>
        <v>2165</v>
      </c>
      <c r="M9" s="67">
        <f>'tab 14'!M9/'tab 13'!M9</f>
        <v>2135.5578512396696</v>
      </c>
      <c r="N9" s="67">
        <f>'tab 14'!N9/'tab 13'!N9</f>
        <v>2399.3665817255187</v>
      </c>
      <c r="O9" s="17"/>
    </row>
    <row r="10" spans="1:15">
      <c r="A10" t="s">
        <v>46</v>
      </c>
      <c r="B10" s="67">
        <f>'tab 14'!B10/'tab 13'!B10</f>
        <v>2961.4155251141551</v>
      </c>
      <c r="C10" s="67">
        <f>'tab 14'!C10/'tab 13'!C10</f>
        <v>3200</v>
      </c>
      <c r="D10" s="67">
        <f>'tab 14'!D10/'tab 13'!D10</f>
        <v>3375</v>
      </c>
      <c r="E10" s="67">
        <f>'tab 14'!E10/'tab 13'!E10</f>
        <v>2700</v>
      </c>
      <c r="F10" s="67">
        <f>'tab 14'!F10/'tab 13'!F10</f>
        <v>3255.2340873224621</v>
      </c>
      <c r="G10" s="67">
        <f>'tab 14'!G10/'tab 13'!G10</f>
        <v>2150</v>
      </c>
      <c r="H10" s="67">
        <f>'tab 14'!H10/'tab 13'!H10</f>
        <v>1665</v>
      </c>
      <c r="I10" s="67">
        <f>'tab 14'!I10/'tab 13'!I10</f>
        <v>2220</v>
      </c>
      <c r="J10" s="67">
        <f>'tab 14'!J10/'tab 13'!J10</f>
        <v>1820.8448540706606</v>
      </c>
      <c r="K10" s="67">
        <f>'tab 14'!K10/'tab 13'!K10</f>
        <v>2780</v>
      </c>
      <c r="L10" s="67">
        <f>'tab 14'!L10/'tab 13'!L10</f>
        <v>2900</v>
      </c>
      <c r="M10" s="67">
        <f>'tab 14'!M10/'tab 13'!M10</f>
        <v>2853.8095238095239</v>
      </c>
      <c r="N10" s="67">
        <f>'tab 14'!N10/'tab 13'!N10</f>
        <v>2883.4718586387435</v>
      </c>
      <c r="O10" s="17"/>
    </row>
    <row r="11" spans="1:15">
      <c r="A11" t="s">
        <v>47</v>
      </c>
      <c r="B11" s="67">
        <f>'tab 14'!B11/'tab 13'!B11</f>
        <v>2950</v>
      </c>
      <c r="C11" s="67">
        <f>'tab 14'!C11/'tab 13'!C11</f>
        <v>3000</v>
      </c>
      <c r="D11" s="67">
        <f>'tab 14'!D11/'tab 13'!D11</f>
        <v>3240</v>
      </c>
      <c r="E11" s="67">
        <f>'tab 14'!E11/'tab 13'!E11</f>
        <v>2850</v>
      </c>
      <c r="F11" s="67">
        <f>'tab 14'!F11/'tab 13'!F11</f>
        <v>3148.8255416191564</v>
      </c>
      <c r="G11" s="67">
        <f>'tab 14'!G11/'tab 13'!G11</f>
        <v>2060</v>
      </c>
      <c r="H11" s="67">
        <f>'tab 14'!H11/'tab 13'!H11</f>
        <v>1725</v>
      </c>
      <c r="I11" s="67">
        <f>'tab 14'!I11/'tab 13'!I11</f>
        <v>2580</v>
      </c>
      <c r="J11" s="67">
        <f>'tab 14'!J11/'tab 13'!J11</f>
        <v>1837.8290246768508</v>
      </c>
      <c r="K11" s="67">
        <f>'tab 14'!K11/'tab 13'!K11</f>
        <v>2955</v>
      </c>
      <c r="L11" s="67">
        <f>'tab 14'!L11/'tab 13'!L11</f>
        <v>2935</v>
      </c>
      <c r="M11" s="67">
        <f>'tab 14'!M11/'tab 13'!M11</f>
        <v>2942.68</v>
      </c>
      <c r="N11" s="67">
        <f>'tab 14'!N11/'tab 13'!N11</f>
        <v>2809.5863431920402</v>
      </c>
      <c r="O11" s="17"/>
    </row>
    <row r="12" spans="1:15">
      <c r="A12" t="s">
        <v>48</v>
      </c>
      <c r="B12" s="67">
        <f>'tab 14'!B12/'tab 13'!B12</f>
        <v>2260</v>
      </c>
      <c r="C12" s="67">
        <f>'tab 14'!C12/'tab 13'!C12</f>
        <v>2680</v>
      </c>
      <c r="D12" s="67">
        <f>'tab 14'!D12/'tab 13'!D12</f>
        <v>2455</v>
      </c>
      <c r="E12" s="67">
        <f>'tab 14'!E12/'tab 13'!E12</f>
        <v>2220</v>
      </c>
      <c r="F12" s="67">
        <f>'tab 14'!F12/'tab 13'!F12</f>
        <v>2428.7073791348603</v>
      </c>
      <c r="G12" s="67">
        <f>'tab 14'!G12/'tab 13'!G12</f>
        <v>2055</v>
      </c>
      <c r="H12" s="67">
        <f>'tab 14'!H12/'tab 13'!H12</f>
        <v>1750</v>
      </c>
      <c r="I12" s="67">
        <f>'tab 14'!I12/'tab 13'!I12</f>
        <v>2259.8425196850394</v>
      </c>
      <c r="J12" s="67">
        <f>'tab 14'!J12/'tab 13'!J12</f>
        <v>1853.8821328344247</v>
      </c>
      <c r="K12" s="67">
        <f>'tab 14'!K12/'tab 13'!K12</f>
        <v>3100</v>
      </c>
      <c r="L12" s="67">
        <f>'tab 14'!L12/'tab 13'!L12</f>
        <v>3080</v>
      </c>
      <c r="M12" s="67">
        <f>'tab 14'!M12/'tab 13'!M12</f>
        <v>3087.6724137931033</v>
      </c>
      <c r="N12" s="67">
        <f>'tab 14'!N12/'tab 13'!N12</f>
        <v>2408.2106565919748</v>
      </c>
      <c r="O12" s="17"/>
    </row>
    <row r="13" spans="1:15">
      <c r="A13" t="s">
        <v>49</v>
      </c>
      <c r="B13" s="67">
        <f>'tab 14'!B13/'tab 13'!B13</f>
        <v>2115</v>
      </c>
      <c r="C13" s="67">
        <f>'tab 14'!C13/'tab 13'!C13</f>
        <v>2600</v>
      </c>
      <c r="D13" s="67">
        <f>'tab 14'!D13/'tab 13'!D13</f>
        <v>2500</v>
      </c>
      <c r="E13" s="67">
        <f>'tab 14'!E13/'tab 13'!E13</f>
        <v>2400</v>
      </c>
      <c r="F13" s="67">
        <f>'tab 14'!F13/'tab 13'!F13</f>
        <v>2417.8646934460889</v>
      </c>
      <c r="G13" s="67">
        <f>'tab 14'!G13/'tab 13'!G13</f>
        <v>2250</v>
      </c>
      <c r="H13" s="67">
        <f>'tab 14'!H13/'tab 13'!H13</f>
        <v>1750</v>
      </c>
      <c r="I13" s="67">
        <f>'tab 14'!I13/'tab 13'!I13</f>
        <v>2400</v>
      </c>
      <c r="J13" s="67">
        <f>'tab 14'!J13/'tab 13'!J13</f>
        <v>1908.3929554210238</v>
      </c>
      <c r="K13" s="67">
        <f>'tab 14'!K13/'tab 13'!K13</f>
        <v>2700</v>
      </c>
      <c r="L13" s="67">
        <f>'tab 14'!L13/'tab 13'!L13</f>
        <v>2650</v>
      </c>
      <c r="M13" s="67">
        <f>'tab 14'!M13/'tab 13'!M13</f>
        <v>2668.90756302521</v>
      </c>
      <c r="N13" s="67">
        <f>'tab 14'!N13/'tab 13'!N13</f>
        <v>2336.8295204859764</v>
      </c>
      <c r="O13" s="17"/>
    </row>
    <row r="14" spans="1:15">
      <c r="A14" t="s">
        <v>50</v>
      </c>
      <c r="B14" s="67">
        <f>'tab 14'!B14/'tab 13'!B14</f>
        <v>2380</v>
      </c>
      <c r="C14" s="67">
        <f>'tab 14'!C14/'tab 13'!C14</f>
        <v>2540</v>
      </c>
      <c r="D14" s="67">
        <f>'tab 14'!D14/'tab 13'!D14</f>
        <v>2630</v>
      </c>
      <c r="E14" s="67">
        <f>'tab 14'!E14/'tab 13'!E14</f>
        <v>2470</v>
      </c>
      <c r="F14" s="67">
        <f>'tab 14'!F14/'tab 13'!F14</f>
        <v>2562.44140625</v>
      </c>
      <c r="G14" s="67">
        <f>'tab 14'!G14/'tab 13'!G14</f>
        <v>2320</v>
      </c>
      <c r="H14" s="67">
        <f>'tab 14'!H14/'tab 13'!H14</f>
        <v>1670</v>
      </c>
      <c r="I14" s="67">
        <f>'tab 14'!I14/'tab 13'!I14</f>
        <v>2280</v>
      </c>
      <c r="J14" s="67">
        <f>'tab 14'!J14/'tab 13'!J14</f>
        <v>1867.624861265261</v>
      </c>
      <c r="K14" s="67">
        <f>'tab 14'!K14/'tab 13'!K14</f>
        <v>2900</v>
      </c>
      <c r="L14" s="67">
        <f>'tab 14'!L14/'tab 13'!L14</f>
        <v>2745</v>
      </c>
      <c r="M14" s="67">
        <f>'tab 14'!M14/'tab 13'!M14</f>
        <v>2802.8073770491801</v>
      </c>
      <c r="N14" s="67">
        <f>'tab 14'!N14/'tab 13'!N14</f>
        <v>2444.6800540407762</v>
      </c>
      <c r="O14" s="17"/>
    </row>
    <row r="15" spans="1:15">
      <c r="A15" t="s">
        <v>51</v>
      </c>
      <c r="B15" s="67">
        <f>'tab 14'!B15/'tab 13'!B15</f>
        <v>2250</v>
      </c>
      <c r="C15" s="67">
        <f>'tab 14'!C15/'tab 13'!C15</f>
        <v>2470</v>
      </c>
      <c r="D15" s="67">
        <f>'tab 14'!D15/'tab 13'!D15</f>
        <v>2700</v>
      </c>
      <c r="E15" s="67">
        <f>'tab 14'!E15/'tab 13'!E15</f>
        <v>2600</v>
      </c>
      <c r="F15" s="67">
        <f>'tab 14'!F15/'tab 13'!F15</f>
        <v>2574.1475329750856</v>
      </c>
      <c r="G15" s="67">
        <f>'tab 14'!G15/'tab 13'!G15</f>
        <v>2150</v>
      </c>
      <c r="H15" s="67">
        <f>'tab 14'!H15/'tab 13'!H15</f>
        <v>1850</v>
      </c>
      <c r="I15" s="67">
        <f>'tab 14'!I15/'tab 13'!I15</f>
        <v>2400</v>
      </c>
      <c r="J15" s="67">
        <f>'tab 14'!J15/'tab 13'!J15</f>
        <v>1954.2041248016924</v>
      </c>
      <c r="K15" s="67">
        <f>'tab 14'!K15/'tab 13'!K15</f>
        <v>2705</v>
      </c>
      <c r="L15" s="67">
        <f>'tab 14'!L15/'tab 13'!L15</f>
        <v>2435</v>
      </c>
      <c r="M15" s="67">
        <f>'tab 14'!M15/'tab 13'!M15</f>
        <v>2536.1111111111113</v>
      </c>
      <c r="N15" s="67">
        <f>'tab 14'!N15/'tab 13'!N15</f>
        <v>2425.9713017571594</v>
      </c>
      <c r="O15" s="17"/>
    </row>
    <row r="16" spans="1:15">
      <c r="A16" t="s">
        <v>52</v>
      </c>
      <c r="B16" s="67">
        <f>'tab 14'!B16/'tab 13'!B16</f>
        <v>1510</v>
      </c>
      <c r="C16" s="67">
        <f>'tab 14'!C16/'tab 13'!C16</f>
        <v>2340</v>
      </c>
      <c r="D16" s="67">
        <f>'tab 14'!D16/'tab 13'!D16</f>
        <v>1750</v>
      </c>
      <c r="E16" s="67">
        <f>'tab 14'!E16/'tab 13'!E16</f>
        <v>2230</v>
      </c>
      <c r="F16" s="67">
        <f>'tab 14'!F16/'tab 13'!F16</f>
        <v>1753.5454146555508</v>
      </c>
      <c r="G16" s="67">
        <f>'tab 14'!G16/'tab 13'!G16</f>
        <v>2220</v>
      </c>
      <c r="H16" s="67">
        <f>'tab 14'!H16/'tab 13'!H16</f>
        <v>1850</v>
      </c>
      <c r="I16" s="67">
        <f>'tab 14'!I16/'tab 13'!I16</f>
        <v>2500</v>
      </c>
      <c r="J16" s="67">
        <f>'tab 14'!J16/'tab 13'!J16</f>
        <v>1975.8313253012047</v>
      </c>
      <c r="K16" s="67">
        <f>'tab 14'!K16/'tab 13'!K16</f>
        <v>3195</v>
      </c>
      <c r="L16" s="67">
        <f>'tab 14'!L16/'tab 13'!L16</f>
        <v>2900</v>
      </c>
      <c r="M16" s="67">
        <f>'tab 14'!M16/'tab 13'!M16</f>
        <v>3009.6360153256705</v>
      </c>
      <c r="N16" s="67">
        <f>'tab 14'!N16/'tab 13'!N16</f>
        <v>1984.9352795373175</v>
      </c>
      <c r="O16" s="17"/>
    </row>
    <row r="17" spans="1:15">
      <c r="A17" t="s">
        <v>53</v>
      </c>
      <c r="B17" s="67">
        <f>'tab 14'!B17/'tab 13'!B17</f>
        <v>2305</v>
      </c>
      <c r="C17" s="67">
        <f>'tab 14'!C17/'tab 13'!C17</f>
        <v>2370</v>
      </c>
      <c r="D17" s="67">
        <f>'tab 14'!D17/'tab 13'!D17</f>
        <v>2490</v>
      </c>
      <c r="E17" s="67">
        <f>'tab 14'!E17/'tab 13'!E17</f>
        <v>2400</v>
      </c>
      <c r="F17" s="67">
        <f>'tab 14'!F17/'tab 13'!F17</f>
        <v>2438.8765337423315</v>
      </c>
      <c r="G17" s="67">
        <f>'tab 14'!G17/'tab 13'!G17</f>
        <v>2300</v>
      </c>
      <c r="H17" s="67">
        <f>'tab 14'!H17/'tab 13'!H17</f>
        <v>2100</v>
      </c>
      <c r="I17" s="67">
        <f>'tab 14'!I17/'tab 13'!I17</f>
        <v>2250</v>
      </c>
      <c r="J17" s="67">
        <f>'tab 14'!J17/'tab 13'!J17</f>
        <v>2154.2318712805818</v>
      </c>
      <c r="K17" s="67">
        <f>'tab 14'!K17/'tab 13'!K17</f>
        <v>3200</v>
      </c>
      <c r="L17" s="67">
        <f>'tab 14'!L17/'tab 13'!L17</f>
        <v>2850</v>
      </c>
      <c r="M17" s="67">
        <f>'tab 14'!M17/'tab 13'!M17</f>
        <v>2980.2325581395348</v>
      </c>
      <c r="N17" s="67">
        <f>'tab 14'!N17/'tab 13'!N17</f>
        <v>2444.0988242297963</v>
      </c>
      <c r="O17" s="17"/>
    </row>
    <row r="18" spans="1:15">
      <c r="A18" t="s">
        <v>74</v>
      </c>
      <c r="B18" s="67">
        <f>'tab 14'!B18/'tab 13'!B18</f>
        <v>2505</v>
      </c>
      <c r="C18" s="67">
        <f>'tab 14'!C18/'tab 13'!C18</f>
        <v>2630</v>
      </c>
      <c r="D18" s="67">
        <f>'tab 14'!D18/'tab 13'!D18</f>
        <v>2705</v>
      </c>
      <c r="E18" s="67">
        <f>'tab 14'!E18/'tab 13'!E18</f>
        <v>2500</v>
      </c>
      <c r="F18" s="67">
        <f>'tab 14'!F18/'tab 13'!F18</f>
        <v>2649.3043043043044</v>
      </c>
      <c r="G18" s="67">
        <f>'tab 14'!G18/'tab 13'!G18</f>
        <v>2410</v>
      </c>
      <c r="H18" s="67">
        <f>'tab 14'!H18/'tab 13'!H18</f>
        <v>2230</v>
      </c>
      <c r="I18" s="67">
        <f>'tab 14'!I18/'tab 13'!I18</f>
        <v>2760</v>
      </c>
      <c r="J18" s="67">
        <f>'tab 14'!J18/'tab 13'!J18</f>
        <v>2297.962744635699</v>
      </c>
      <c r="K18" s="67">
        <f>'tab 14'!K18/'tab 13'!K18</f>
        <v>2755</v>
      </c>
      <c r="L18" s="67">
        <f>'tab 14'!L18/'tab 13'!L18</f>
        <v>2660</v>
      </c>
      <c r="M18" s="67">
        <f>'tab 14'!M18/'tab 13'!M18</f>
        <v>2695.9146341463415</v>
      </c>
      <c r="N18" s="67">
        <f>'tab 14'!N18/'tab 13'!N18</f>
        <v>2566.9019231921397</v>
      </c>
      <c r="O18" s="17"/>
    </row>
    <row r="19" spans="1:15">
      <c r="A19" t="s">
        <v>55</v>
      </c>
      <c r="B19" s="67">
        <f>'tab 14'!B19/'tab 13'!B19</f>
        <v>1980</v>
      </c>
      <c r="C19" s="67">
        <f>'tab 14'!C19/'tab 13'!C19</f>
        <v>2320</v>
      </c>
      <c r="D19" s="67">
        <f>'tab 14'!D19/'tab 13'!D19</f>
        <v>1985</v>
      </c>
      <c r="E19" s="67">
        <f>'tab 14'!E19/'tab 13'!E19</f>
        <v>1750</v>
      </c>
      <c r="F19" s="67">
        <f>'tab 14'!F19/'tab 13'!F19</f>
        <v>2007.8771760154739</v>
      </c>
      <c r="G19" s="67">
        <f>'tab 14'!G19/'tab 13'!G19</f>
        <v>2290</v>
      </c>
      <c r="H19" s="67">
        <f>'tab 14'!H19/'tab 13'!H19</f>
        <v>1865</v>
      </c>
      <c r="I19" s="67">
        <f>'tab 14'!I19/'tab 13'!I19</f>
        <v>2600</v>
      </c>
      <c r="J19" s="67">
        <f>'tab 14'!J19/'tab 13'!J19</f>
        <v>2006.7693409742119</v>
      </c>
      <c r="K19" s="67">
        <f>'tab 14'!K19/'tab 13'!K19</f>
        <v>1875</v>
      </c>
      <c r="L19" s="67">
        <f>'tab 14'!L19/'tab 13'!L19</f>
        <v>2095</v>
      </c>
      <c r="M19" s="67">
        <f>'tab 14'!M19/'tab 13'!M19</f>
        <v>2007.7426160337552</v>
      </c>
      <c r="N19" s="67">
        <f>'tab 14'!N19/'tab 13'!N19</f>
        <v>2007.5837377204402</v>
      </c>
      <c r="O19" s="17"/>
    </row>
    <row r="20" spans="1:15">
      <c r="A20" t="s">
        <v>56</v>
      </c>
      <c r="B20" s="67">
        <f>'tab 14'!B20/'tab 13'!B20</f>
        <v>2010</v>
      </c>
      <c r="C20" s="67">
        <f>'tab 14'!C20/'tab 13'!C20</f>
        <v>2470</v>
      </c>
      <c r="D20" s="67">
        <f>'tab 14'!D20/'tab 13'!D20</f>
        <v>2870</v>
      </c>
      <c r="E20" s="67">
        <f>'tab 14'!E20/'tab 13'!E20</f>
        <v>2900</v>
      </c>
      <c r="F20" s="67">
        <f>'tab 14'!F20/'tab 13'!F20</f>
        <v>2638.3255813953488</v>
      </c>
      <c r="G20" s="67">
        <f>'tab 14'!G20/'tab 13'!G20</f>
        <v>2610</v>
      </c>
      <c r="H20" s="67">
        <f>'tab 14'!H20/'tab 13'!H20</f>
        <v>2110</v>
      </c>
      <c r="I20" s="67">
        <f>'tab 14'!I20/'tab 13'!I20</f>
        <v>2460</v>
      </c>
      <c r="J20" s="67">
        <f>'tab 14'!J20/'tab 13'!J20</f>
        <v>2250.5637254901962</v>
      </c>
      <c r="K20" s="67">
        <f>'tab 14'!K20/'tab 13'!K20</f>
        <v>3165</v>
      </c>
      <c r="L20" s="67">
        <f>'tab 14'!L20/'tab 13'!L20</f>
        <v>3215</v>
      </c>
      <c r="M20" s="67">
        <f>'tab 14'!M20/'tab 13'!M20</f>
        <v>3196.0699588477364</v>
      </c>
      <c r="N20" s="67">
        <f>'tab 14'!N20/'tab 13'!N20</f>
        <v>2624.3157244362064</v>
      </c>
      <c r="O20" s="17"/>
    </row>
    <row r="21" spans="1:15">
      <c r="A21" t="s">
        <v>57</v>
      </c>
      <c r="B21" s="67">
        <f>'tab 14'!B21/'tab 13'!B21</f>
        <v>2280</v>
      </c>
      <c r="C21" s="67">
        <f>'tab 14'!C21/'tab 13'!C21</f>
        <v>2390</v>
      </c>
      <c r="D21" s="67">
        <f>'tab 14'!D21/'tab 13'!D21</f>
        <v>2390</v>
      </c>
      <c r="E21" s="67">
        <f>'tab 14'!E21/'tab 13'!E21</f>
        <v>2800</v>
      </c>
      <c r="F21" s="67">
        <f>'tab 14'!F21/'tab 13'!F21</f>
        <v>2369.0066964285716</v>
      </c>
      <c r="G21" s="67">
        <f>'tab 14'!G21/'tab 13'!G21</f>
        <v>2060</v>
      </c>
      <c r="H21" s="67">
        <f>'tab 14'!H21/'tab 13'!H21</f>
        <v>2000</v>
      </c>
      <c r="I21" s="67">
        <f>'tab 14'!I21/'tab 13'!I21</f>
        <v>2150</v>
      </c>
      <c r="J21" s="67">
        <f>'tab 14'!J21/'tab 13'!J21</f>
        <v>2022.8865979381444</v>
      </c>
      <c r="K21" s="67">
        <f>'tab 14'!K21/'tab 13'!K21</f>
        <v>2325</v>
      </c>
      <c r="L21" s="67">
        <f>'tab 14'!L21/'tab 13'!L21</f>
        <v>2410</v>
      </c>
      <c r="M21" s="67">
        <f>'tab 14'!M21/'tab 13'!M21</f>
        <v>2377.5321888412018</v>
      </c>
      <c r="N21" s="67">
        <f>'tab 14'!N21/'tab 13'!N21</f>
        <v>2281.7897165458139</v>
      </c>
      <c r="O21" s="17"/>
    </row>
    <row r="22" spans="1:15">
      <c r="A22" t="s">
        <v>75</v>
      </c>
      <c r="B22" s="67">
        <f>'tab 14'!B22/'tab 13'!B22</f>
        <v>2355</v>
      </c>
      <c r="C22" s="67">
        <f>'tab 14'!C22/'tab 13'!C22</f>
        <v>2880</v>
      </c>
      <c r="D22" s="67">
        <f>'tab 14'!D22/'tab 13'!D22</f>
        <v>2690</v>
      </c>
      <c r="E22" s="67">
        <f>'tab 14'!E22/'tab 13'!E22</f>
        <v>3100</v>
      </c>
      <c r="F22" s="67">
        <f>'tab 14'!F22/'tab 13'!F22</f>
        <v>2635.9889773423147</v>
      </c>
      <c r="G22" s="67">
        <f>'tab 14'!G22/'tab 13'!G22</f>
        <v>2410</v>
      </c>
      <c r="H22" s="67">
        <f>'tab 14'!H22/'tab 13'!H22</f>
        <v>2600</v>
      </c>
      <c r="I22" s="67">
        <f>'tab 14'!I22/'tab 13'!I22</f>
        <v>2300</v>
      </c>
      <c r="J22" s="67">
        <f>'tab 14'!J22/'tab 13'!J22</f>
        <v>2543.8896551724138</v>
      </c>
      <c r="K22" s="67">
        <f>'tab 14'!K22/'tab 13'!K22</f>
        <v>2885</v>
      </c>
      <c r="L22" s="67">
        <f>'tab 14'!L22/'tab 13'!L22</f>
        <v>2940</v>
      </c>
      <c r="M22" s="67">
        <f>'tab 14'!M22/'tab 13'!M22</f>
        <v>2919.2039800995026</v>
      </c>
      <c r="N22" s="67">
        <f>'tab 14'!N22/'tab 13'!N22</f>
        <v>2653.0471014492755</v>
      </c>
      <c r="O22" s="17"/>
    </row>
    <row r="23" spans="1:15">
      <c r="A23" t="s">
        <v>59</v>
      </c>
      <c r="B23" s="67">
        <f>'tab 14'!B23/'tab 13'!B23</f>
        <v>1930</v>
      </c>
      <c r="C23" s="67">
        <f>'tab 14'!C23/'tab 13'!C23</f>
        <v>2715</v>
      </c>
      <c r="D23" s="67">
        <f>'tab 14'!D23/'tab 13'!D23</f>
        <v>2570</v>
      </c>
      <c r="E23" s="67">
        <f>'tab 14'!E23/'tab 13'!E23</f>
        <v>2900</v>
      </c>
      <c r="F23" s="67">
        <f>'tab 14'!F23/'tab 13'!F23</f>
        <v>2436.2430254184751</v>
      </c>
      <c r="G23" s="67">
        <f>'tab 14'!G23/'tab 13'!G23</f>
        <v>2400</v>
      </c>
      <c r="H23" s="67">
        <f>'tab 14'!H23/'tab 13'!H23</f>
        <v>2610</v>
      </c>
      <c r="I23" s="67">
        <f>'tab 14'!I23/'tab 13'!I23</f>
        <v>2700</v>
      </c>
      <c r="J23" s="67">
        <f>'tab 14'!J23/'tab 13'!J23</f>
        <v>2574.297581236257</v>
      </c>
      <c r="K23" s="67">
        <f>'tab 14'!K23/'tab 13'!K23</f>
        <v>2550</v>
      </c>
      <c r="L23" s="67">
        <f>'tab 14'!L23/'tab 13'!L23</f>
        <v>2680</v>
      </c>
      <c r="M23" s="67">
        <f>'tab 14'!M23/'tab 13'!M23</f>
        <v>2630.757575757576</v>
      </c>
      <c r="N23" s="67">
        <f>'tab 14'!N23/'tab 13'!N23</f>
        <v>2503.4516904795587</v>
      </c>
      <c r="O23" s="17"/>
    </row>
    <row r="24" spans="1:15">
      <c r="A24" t="s">
        <v>122</v>
      </c>
      <c r="B24" s="67">
        <f>'tab 14'!B24/'tab 13'!B24</f>
        <v>2195</v>
      </c>
      <c r="C24" s="67">
        <f>'tab 14'!C24/'tab 13'!C24</f>
        <v>2590</v>
      </c>
      <c r="D24" s="67">
        <f>'tab 14'!D24/'tab 13'!D24</f>
        <v>2815</v>
      </c>
      <c r="E24" s="67">
        <f>'tab 14'!E24/'tab 13'!E24</f>
        <v>2450</v>
      </c>
      <c r="F24" s="67">
        <f>'tab 14'!F24/'tab 13'!F24</f>
        <v>2639.5511669658886</v>
      </c>
      <c r="G24" s="67">
        <f>'tab 14'!G24/'tab 13'!G24</f>
        <v>2130</v>
      </c>
      <c r="H24" s="67">
        <f>'tab 14'!H24/'tab 13'!H24</f>
        <v>2740</v>
      </c>
      <c r="I24" s="67">
        <f>'tab 14'!I24/'tab 13'!I24</f>
        <v>2820</v>
      </c>
      <c r="J24" s="67">
        <f>'tab 14'!J24/'tab 13'!J24</f>
        <v>2638.1712962962961</v>
      </c>
      <c r="K24" s="67">
        <f>'tab 14'!K24/'tab 13'!K24</f>
        <v>2950</v>
      </c>
      <c r="L24" s="67">
        <f>'tab 14'!L24/'tab 13'!L24</f>
        <v>3190</v>
      </c>
      <c r="M24" s="67">
        <f>'tab 14'!M24/'tab 13'!M24</f>
        <v>3099.7744360902257</v>
      </c>
      <c r="N24" s="67">
        <f>'tab 14'!N24/'tab 13'!N24</f>
        <v>2701.7314246762098</v>
      </c>
      <c r="O24" s="17"/>
    </row>
    <row r="25" spans="1:15">
      <c r="A25" t="s">
        <v>123</v>
      </c>
      <c r="B25" s="67">
        <f>'tab 14'!B25/'tab 13'!B25</f>
        <v>2175</v>
      </c>
      <c r="C25" s="67">
        <f>'tab 14'!C25/'tab 13'!C25</f>
        <v>2770</v>
      </c>
      <c r="D25" s="67">
        <f>'tab 14'!D25/'tab 13'!D25</f>
        <v>2575</v>
      </c>
      <c r="E25" s="67">
        <f>'tab 14'!E25/'tab 13'!E25</f>
        <v>2300</v>
      </c>
      <c r="F25" s="67">
        <f>'tab 14'!F25/'tab 13'!F25</f>
        <v>2496.5263157894738</v>
      </c>
      <c r="G25" s="67">
        <f>'tab 14'!G25/'tab 13'!G25</f>
        <v>2400</v>
      </c>
      <c r="H25" s="67">
        <f>'tab 14'!H25/'tab 13'!H25</f>
        <v>3310</v>
      </c>
      <c r="I25" s="67">
        <f>'tab 14'!I25/'tab 13'!I25</f>
        <v>2800</v>
      </c>
      <c r="J25" s="67">
        <f>'tab 14'!J25/'tab 13'!J25</f>
        <v>3091.8635170603675</v>
      </c>
      <c r="K25" s="67">
        <f>'tab 14'!K25/'tab 13'!K25</f>
        <v>2870</v>
      </c>
      <c r="L25" s="67">
        <f>'tab 14'!L25/'tab 13'!L25</f>
        <v>2410</v>
      </c>
      <c r="M25" s="67">
        <f>'tab 14'!M25/'tab 13'!M25</f>
        <v>2584.8000000000002</v>
      </c>
      <c r="N25" s="67">
        <f>'tab 14'!N25/'tab 13'!N25</f>
        <v>2666.7757660167131</v>
      </c>
      <c r="O25" s="17"/>
    </row>
    <row r="26" spans="1:15">
      <c r="A26" s="62">
        <v>2000</v>
      </c>
      <c r="B26" s="67">
        <f>'tab 14'!B26/'tab 13'!B26</f>
        <v>1490</v>
      </c>
      <c r="C26" s="67">
        <f>'tab 14'!C26/'tab 13'!C26</f>
        <v>2485</v>
      </c>
      <c r="D26" s="67">
        <f>'tab 14'!D26/'tab 13'!D26</f>
        <v>2700</v>
      </c>
      <c r="E26" s="67">
        <f>'tab 14'!E26/'tab 13'!E26</f>
        <v>2950</v>
      </c>
      <c r="F26" s="67">
        <f>'tab 14'!F26/'tab 13'!F26</f>
        <v>2393.2337662337663</v>
      </c>
      <c r="G26" s="67">
        <f>'tab 14'!G26/'tab 13'!G26</f>
        <v>1800</v>
      </c>
      <c r="H26" s="67">
        <f>'tab 14'!H26/'tab 13'!H26</f>
        <v>2540</v>
      </c>
      <c r="I26" s="67">
        <f>'tab 14'!I26/'tab 13'!I26</f>
        <v>2115</v>
      </c>
      <c r="J26" s="67">
        <f>'tab 14'!J26/'tab 13'!J26</f>
        <v>2375.2445652173915</v>
      </c>
      <c r="K26" s="67">
        <f>'tab 14'!K26/'tab 13'!K26</f>
        <v>2805</v>
      </c>
      <c r="L26" s="67">
        <f>'tab 14'!L26/'tab 13'!L26</f>
        <v>2750</v>
      </c>
      <c r="M26" s="67">
        <f>'tab 14'!M26/'tab 13'!M26</f>
        <v>2770.8333333333335</v>
      </c>
      <c r="N26" s="67">
        <f>'tab 14'!N26/'tab 13'!N26</f>
        <v>2444.2402694610778</v>
      </c>
      <c r="O26" s="17"/>
    </row>
    <row r="27" spans="1:15">
      <c r="A27" s="62">
        <v>2001</v>
      </c>
      <c r="B27" s="67">
        <f>'tab 14'!B27/'tab 13'!B27</f>
        <v>2675</v>
      </c>
      <c r="C27" s="67">
        <f>'tab 14'!C27/'tab 13'!C27</f>
        <v>3050</v>
      </c>
      <c r="D27" s="67">
        <f>'tab 14'!D27/'tab 13'!D27</f>
        <v>3330</v>
      </c>
      <c r="E27" s="67">
        <f>'tab 14'!E27/'tab 13'!E27</f>
        <v>3000</v>
      </c>
      <c r="F27" s="67">
        <f>'tab 14'!F27/'tab 13'!F27</f>
        <v>3135.4259811227021</v>
      </c>
      <c r="G27" s="67">
        <f>'tab 14'!G27/'tab 13'!G27</f>
        <v>2570</v>
      </c>
      <c r="H27" s="67">
        <f>'tab 14'!H27/'tab 13'!H27</f>
        <v>2890</v>
      </c>
      <c r="I27" s="67">
        <f>'tab 14'!I27/'tab 13'!I27</f>
        <v>3020</v>
      </c>
      <c r="J27" s="67">
        <f>'tab 14'!J27/'tab 13'!J27</f>
        <v>2836.837732160313</v>
      </c>
      <c r="K27" s="67">
        <f>'tab 14'!K27/'tab 13'!K27</f>
        <v>3130</v>
      </c>
      <c r="L27" s="67">
        <f>'tab 14'!L27/'tab 13'!L27</f>
        <v>2910</v>
      </c>
      <c r="M27" s="67">
        <f>'tab 14'!M27/'tab 13'!M27</f>
        <v>2993.5443037974683</v>
      </c>
      <c r="N27" s="67">
        <f>'tab 14'!N27/'tab 13'!N27</f>
        <v>3029.0417168354697</v>
      </c>
      <c r="O27" s="17"/>
    </row>
    <row r="28" spans="1:15">
      <c r="A28" s="62">
        <v>2002</v>
      </c>
      <c r="B28" s="67">
        <f>'tab 14'!B28/'tab 13'!B28</f>
        <v>2110</v>
      </c>
      <c r="C28" s="67">
        <f>'tab 14'!C28/'tab 13'!C28</f>
        <v>2300</v>
      </c>
      <c r="D28" s="67">
        <f>'tab 14'!D28/'tab 13'!D28</f>
        <v>2600</v>
      </c>
      <c r="E28" s="67">
        <f>'tab 14'!E28/'tab 13'!E28</f>
        <v>2200</v>
      </c>
      <c r="F28" s="67">
        <f>'tab 14'!F28/'tab 13'!F28</f>
        <v>2449.3266641015775</v>
      </c>
      <c r="G28" s="67">
        <f>'tab 14'!G28/'tab 13'!G28</f>
        <v>2800</v>
      </c>
      <c r="H28" s="67">
        <f>'tab 14'!H28/'tab 13'!H28</f>
        <v>3100</v>
      </c>
      <c r="I28" s="67">
        <f>'tab 14'!I28/'tab 13'!I28</f>
        <v>3000</v>
      </c>
      <c r="J28" s="67">
        <f>'tab 14'!J28/'tab 13'!J28</f>
        <v>3046.7605633802818</v>
      </c>
      <c r="K28" s="67">
        <f>'tab 14'!K28/'tab 13'!K28</f>
        <v>2100</v>
      </c>
      <c r="L28" s="67">
        <f>'tab 14'!L28/'tab 13'!L28</f>
        <v>2100</v>
      </c>
      <c r="M28" s="67">
        <f>'tab 14'!M28/'tab 13'!M28</f>
        <v>2100</v>
      </c>
      <c r="N28" s="67">
        <f>'tab 14'!N28/'tab 13'!N28</f>
        <v>2571.0613919640782</v>
      </c>
      <c r="O28" s="17"/>
    </row>
    <row r="29" spans="1:15">
      <c r="A29" s="62">
        <v>2003</v>
      </c>
      <c r="B29" s="67">
        <f>'tab 14'!B29/'tab 13'!B29</f>
        <v>2750</v>
      </c>
      <c r="C29" s="67">
        <f>'tab 14'!C29/'tab 13'!C29</f>
        <v>3000</v>
      </c>
      <c r="D29" s="67">
        <f>'tab 14'!D29/'tab 13'!D29</f>
        <v>3450</v>
      </c>
      <c r="E29" s="67">
        <f>'tab 14'!E29/'tab 13'!E29</f>
        <v>3400</v>
      </c>
      <c r="F29" s="67">
        <f>'tab 14'!F29/'tab 13'!F29</f>
        <v>3237.5145857642942</v>
      </c>
      <c r="G29" s="67">
        <f>'tab 14'!G29/'tab 13'!G29</f>
        <v>2800</v>
      </c>
      <c r="H29" s="67">
        <f>'tab 14'!H29/'tab 13'!H29</f>
        <v>3000</v>
      </c>
      <c r="I29" s="67">
        <f>'tab 14'!I29/'tab 13'!I29</f>
        <v>2700</v>
      </c>
      <c r="J29" s="67">
        <f>'tab 14'!J29/'tab 13'!J29</f>
        <v>2962.4223602484471</v>
      </c>
      <c r="K29" s="67">
        <f>'tab 14'!K29/'tab 13'!K29</f>
        <v>2900</v>
      </c>
      <c r="L29" s="67">
        <f>'tab 14'!L29/'tab 13'!L29</f>
        <v>3200</v>
      </c>
      <c r="M29" s="67">
        <f>'tab 14'!M29/'tab 13'!M29</f>
        <v>3125.5639097744361</v>
      </c>
      <c r="N29" s="67">
        <f>'tab 14'!N29/'tab 13'!N29</f>
        <v>3158.6509146341464</v>
      </c>
      <c r="O29" s="17"/>
    </row>
    <row r="30" spans="1:15">
      <c r="A30" s="62">
        <v>2004</v>
      </c>
      <c r="B30" s="67">
        <f>'tab 14'!B30/'tab 13'!B30</f>
        <v>2800</v>
      </c>
      <c r="C30" s="67">
        <f>'tab 14'!C30/'tab 13'!C30</f>
        <v>2800</v>
      </c>
      <c r="D30" s="67">
        <f>'tab 14'!D30/'tab 13'!D30</f>
        <v>2980</v>
      </c>
      <c r="E30" s="67">
        <f>'tab 14'!E30/'tab 13'!E30</f>
        <v>3400</v>
      </c>
      <c r="F30" s="67">
        <f>'tab 14'!F30/'tab 13'!F30</f>
        <v>2933.3333333333335</v>
      </c>
      <c r="G30" s="67">
        <f>'tab 14'!G30/'tab 13'!G30</f>
        <v>3100</v>
      </c>
      <c r="H30" s="67">
        <f>'tab 14'!H30/'tab 13'!H30</f>
        <v>3420</v>
      </c>
      <c r="I30" s="67">
        <f>'tab 14'!I30/'tab 13'!I30</f>
        <v>3500</v>
      </c>
      <c r="J30" s="67">
        <f>'tab 14'!J30/'tab 13'!J30</f>
        <v>3387.719298245614</v>
      </c>
      <c r="K30" s="67">
        <f>'tab 14'!K30/'tab 13'!K30</f>
        <v>3250</v>
      </c>
      <c r="L30" s="67">
        <f>'tab 14'!L30/'tab 13'!L30</f>
        <v>3500</v>
      </c>
      <c r="M30" s="67">
        <f>'tab 14'!M30/'tab 13'!M30</f>
        <v>3441.6058394160582</v>
      </c>
      <c r="N30" s="67">
        <f>'tab 14'!N30/'tab 13'!N30</f>
        <v>3076.1836441893829</v>
      </c>
      <c r="O30" s="17"/>
    </row>
    <row r="31" spans="1:15">
      <c r="A31" s="62">
        <v>2005</v>
      </c>
      <c r="B31" s="67">
        <f>'tab 14'!B31/'tab 13'!B31</f>
        <v>2750</v>
      </c>
      <c r="C31" s="67">
        <f>'tab 14'!C31/'tab 13'!C31</f>
        <v>2700</v>
      </c>
      <c r="D31" s="67">
        <f>'tab 14'!D31/'tab 13'!D31</f>
        <v>2840</v>
      </c>
      <c r="E31" s="67">
        <f>'tab 14'!E31/'tab 13'!E31</f>
        <v>2800</v>
      </c>
      <c r="F31" s="67">
        <f>'tab 14'!F31/'tab 13'!F31</f>
        <v>2807.7147623019182</v>
      </c>
      <c r="G31" s="67">
        <f>'tab 14'!G31/'tab 13'!G31</f>
        <v>3270</v>
      </c>
      <c r="H31" s="67">
        <f>'tab 14'!H31/'tab 13'!H31</f>
        <v>3750</v>
      </c>
      <c r="I31" s="67">
        <f>'tab 14'!I31/'tab 13'!I31</f>
        <v>3500</v>
      </c>
      <c r="J31" s="67">
        <f>'tab 14'!J31/'tab 13'!J31</f>
        <v>3684.0064102564102</v>
      </c>
      <c r="K31" s="67">
        <f>'tab 14'!K31/'tab 13'!K31</f>
        <v>3000</v>
      </c>
      <c r="L31" s="67">
        <f>'tab 14'!L31/'tab 13'!L31</f>
        <v>3000</v>
      </c>
      <c r="M31" s="67">
        <f>'tab 14'!M31/'tab 13'!M31</f>
        <v>3000</v>
      </c>
      <c r="N31" s="67">
        <f>'tab 14'!N31/'tab 13'!N31</f>
        <v>2989.4782074892573</v>
      </c>
      <c r="O31" s="17"/>
    </row>
    <row r="32" spans="1:15">
      <c r="A32" s="62">
        <v>2006</v>
      </c>
      <c r="B32" s="67">
        <f>'tab 14'!B32/'tab 13'!B32</f>
        <v>2500</v>
      </c>
      <c r="C32" s="67">
        <f>'tab 14'!C32/'tab 13'!C32</f>
        <v>2500</v>
      </c>
      <c r="D32" s="67">
        <f>'tab 14'!D32/'tab 13'!D32</f>
        <v>2780</v>
      </c>
      <c r="E32" s="67">
        <f>'tab 14'!E32/'tab 13'!E32</f>
        <v>3000</v>
      </c>
      <c r="F32" s="67">
        <f>'tab 14'!F32/'tab 13'!F32</f>
        <v>2710.1075268817203</v>
      </c>
      <c r="G32" s="67">
        <f>'tab 14'!G32/'tab 13'!G32</f>
        <v>2850</v>
      </c>
      <c r="H32" s="67">
        <f>'tab 14'!H32/'tab 13'!H32</f>
        <v>3550</v>
      </c>
      <c r="I32" s="67">
        <f>'tab 14'!I32/'tab 13'!I32</f>
        <v>3600</v>
      </c>
      <c r="J32" s="67">
        <f>'tab 14'!J32/'tab 13'!J32</f>
        <v>3467.31843575419</v>
      </c>
      <c r="K32" s="67">
        <f>'tab 14'!K32/'tab 13'!K32</f>
        <v>3200</v>
      </c>
      <c r="L32" s="67">
        <f>'tab 14'!L32/'tab 13'!L32</f>
        <v>3200</v>
      </c>
      <c r="M32" s="67">
        <f>'tab 14'!M32/'tab 13'!M32</f>
        <v>3200</v>
      </c>
      <c r="N32" s="67">
        <f>'tab 14'!N32/'tab 13'!N32</f>
        <v>2863.0165289256197</v>
      </c>
      <c r="O32" s="17"/>
    </row>
    <row r="33" spans="1:15">
      <c r="A33" s="62">
        <v>2007</v>
      </c>
      <c r="B33" s="67">
        <f>'tab 14'!B33/'tab 13'!B33</f>
        <v>2550</v>
      </c>
      <c r="C33" s="67">
        <f>'tab 14'!C33/'tab 13'!C33</f>
        <v>2700</v>
      </c>
      <c r="D33" s="67">
        <f>'tab 14'!D33/'tab 13'!D33</f>
        <v>3120</v>
      </c>
      <c r="E33" s="67">
        <f>'tab 14'!E33/'tab 13'!E33</f>
        <v>3100</v>
      </c>
      <c r="F33" s="67">
        <f>'tab 14'!F33/'tab 13'!F33</f>
        <v>2962.1264367816093</v>
      </c>
      <c r="G33" s="67">
        <f>'tab 14'!G33/'tab 13'!G33</f>
        <v>3400</v>
      </c>
      <c r="H33" s="67">
        <f>'tab 14'!H33/'tab 13'!H33</f>
        <v>3700</v>
      </c>
      <c r="I33" s="67">
        <f>'tab 14'!I33/'tab 13'!I33</f>
        <v>3200</v>
      </c>
      <c r="J33" s="67">
        <f>'tab 14'!J33/'tab 13'!J33</f>
        <v>3652.8037383177571</v>
      </c>
      <c r="K33" s="67">
        <f>'tab 14'!K33/'tab 13'!K33</f>
        <v>2500</v>
      </c>
      <c r="L33" s="67">
        <f>'tab 14'!L33/'tab 13'!L33</f>
        <v>2900</v>
      </c>
      <c r="M33" s="67">
        <f>'tab 14'!M33/'tab 13'!M33</f>
        <v>2824.3243243243242</v>
      </c>
      <c r="N33" s="67">
        <f>'tab 14'!N33/'tab 13'!N33</f>
        <v>3073.0125523012553</v>
      </c>
      <c r="O33" s="17"/>
    </row>
    <row r="34" spans="1:15">
      <c r="A34" s="62">
        <v>2008</v>
      </c>
      <c r="B34" s="67">
        <f>'tab 14'!B34/'tab 13'!B34</f>
        <v>3500</v>
      </c>
      <c r="C34" s="67">
        <f>'tab 14'!C34/'tab 13'!C34</f>
        <v>3200</v>
      </c>
      <c r="D34" s="67">
        <f>'tab 14'!D34/'tab 13'!D34</f>
        <v>3400</v>
      </c>
      <c r="E34" s="67">
        <f>'tab 14'!E34/'tab 13'!E34</f>
        <v>3900</v>
      </c>
      <c r="F34" s="67">
        <f>'tab 14'!F34/'tab 13'!F34</f>
        <v>3432.3396567299005</v>
      </c>
      <c r="G34" s="67">
        <f>'tab 14'!G34/'tab 13'!G34</f>
        <v>3500</v>
      </c>
      <c r="H34" s="67">
        <f>'tab 14'!H34/'tab 13'!H34</f>
        <v>3300</v>
      </c>
      <c r="I34" s="67">
        <f>'tab 14'!I34/'tab 13'!I34</f>
        <v>3200</v>
      </c>
      <c r="J34" s="67">
        <f>'tab 14'!J34/'tab 13'!J34</f>
        <v>3310.0358422939066</v>
      </c>
      <c r="K34" s="67">
        <f>'tab 14'!K34/'tab 13'!K34</f>
        <v>3350</v>
      </c>
      <c r="L34" s="67">
        <f>'tab 14'!L34/'tab 13'!L34</f>
        <v>3700</v>
      </c>
      <c r="M34" s="67">
        <f>'tab 14'!M34/'tab 13'!M34</f>
        <v>3630.5785123966944</v>
      </c>
      <c r="N34" s="67">
        <f>'tab 14'!N34/'tab 13'!N34</f>
        <v>3425.6138022561381</v>
      </c>
      <c r="O34" s="17"/>
    </row>
    <row r="35" spans="1:15">
      <c r="A35" s="62">
        <v>2009</v>
      </c>
      <c r="B35" s="67">
        <f>'tab 14'!B35/'tab 13'!B35</f>
        <v>3300</v>
      </c>
      <c r="C35" s="67">
        <f>'tab 14'!C35/'tab 13'!C35</f>
        <v>3200</v>
      </c>
      <c r="D35" s="67">
        <f>'tab 14'!D35/'tab 13'!D35</f>
        <v>3560</v>
      </c>
      <c r="E35" s="67">
        <f>'tab 14'!E35/'tab 13'!E35</f>
        <v>3100</v>
      </c>
      <c r="F35" s="67">
        <f>'tab 14'!F35/'tab 13'!F35</f>
        <v>3428.0871670702181</v>
      </c>
      <c r="G35" s="67">
        <f>'tab 14'!G35/'tab 13'!G35</f>
        <v>3300</v>
      </c>
      <c r="H35" s="67">
        <f>'tab 14'!H35/'tab 13'!H35</f>
        <v>3270</v>
      </c>
      <c r="I35" s="67">
        <f>'tab 14'!I35/'tab 13'!I35</f>
        <v>3100</v>
      </c>
      <c r="J35" s="67">
        <f>'tab 14'!J35/'tab 13'!J35</f>
        <v>3265.4285714285716</v>
      </c>
      <c r="K35" s="67">
        <f>'tab 14'!K35/'tab 13'!K35</f>
        <v>3700</v>
      </c>
      <c r="L35" s="67">
        <f>'tab 14'!L35/'tab 13'!L35</f>
        <v>3700</v>
      </c>
      <c r="M35" s="67">
        <f>'tab 14'!M35/'tab 13'!M35</f>
        <v>3700</v>
      </c>
      <c r="N35" s="67">
        <f>'tab 14'!N35/'tab 13'!N35</f>
        <v>3421.3623725671919</v>
      </c>
      <c r="O35" s="17"/>
    </row>
    <row r="36" spans="1:15">
      <c r="A36" s="62">
        <v>2010</v>
      </c>
      <c r="B36" s="67">
        <f>'tab 14'!B36/'tab 13'!B36</f>
        <v>2600</v>
      </c>
      <c r="C36" s="67">
        <f>'tab 14'!C36/'tab 13'!C36</f>
        <v>3500</v>
      </c>
      <c r="D36" s="67">
        <f>'tab 14'!D36/'tab 13'!D36</f>
        <v>3530</v>
      </c>
      <c r="E36" s="67">
        <f>'tab 14'!E36/'tab 13'!E36</f>
        <v>3500</v>
      </c>
      <c r="F36" s="67">
        <f>'tab 14'!F36/'tab 13'!F36</f>
        <v>3343.4169278996865</v>
      </c>
      <c r="G36" s="67">
        <f>'tab 14'!G36/'tab 13'!G36</f>
        <v>3350</v>
      </c>
      <c r="H36" s="67">
        <f>'tab 14'!H36/'tab 13'!H36</f>
        <v>3600</v>
      </c>
      <c r="I36" s="67">
        <f>'tab 14'!I36/'tab 13'!I36</f>
        <v>3400</v>
      </c>
      <c r="J36" s="67">
        <f>'tab 14'!J36/'tab 13'!J36</f>
        <v>3562.6288659793813</v>
      </c>
      <c r="K36" s="67">
        <f>'tab 14'!K36/'tab 13'!K36</f>
        <v>1880</v>
      </c>
      <c r="L36" s="67">
        <f>'tab 14'!L36/'tab 13'!L36</f>
        <v>2700</v>
      </c>
      <c r="M36" s="67">
        <f>'tab 14'!M36/'tab 13'!M36</f>
        <v>2558.0769230769229</v>
      </c>
      <c r="N36" s="67">
        <f>'tab 14'!N36/'tab 13'!N36</f>
        <v>3312.2231075697209</v>
      </c>
      <c r="O36" s="17"/>
    </row>
    <row r="37" spans="1:15">
      <c r="A37" s="62">
        <v>2011</v>
      </c>
      <c r="B37" s="67">
        <f>'tab 14'!B37/'tab 13'!B37</f>
        <v>2950</v>
      </c>
      <c r="C37" s="67">
        <f>'tab 14'!C37/'tab 13'!C37</f>
        <v>3500</v>
      </c>
      <c r="D37" s="67">
        <f>'tab 14'!D37/'tab 13'!D37</f>
        <v>3625</v>
      </c>
      <c r="E37" s="67">
        <f>'tab 14'!E37/'tab 13'!E37</f>
        <v>3300</v>
      </c>
      <c r="F37" s="67">
        <f>'tab 14'!F37/'tab 13'!F37</f>
        <v>3451.2152777777778</v>
      </c>
      <c r="G37" s="67">
        <f>'tab 14'!G37/'tab 13'!G37</f>
        <v>2600</v>
      </c>
      <c r="H37" s="67">
        <f>'tab 14'!H37/'tab 13'!H37</f>
        <v>2680</v>
      </c>
      <c r="I37" s="67">
        <f>'tab 14'!I37/'tab 13'!I37</f>
        <v>3000</v>
      </c>
      <c r="J37" s="67">
        <f>'tab 14'!J37/'tab 13'!J37</f>
        <v>2683.5820895522388</v>
      </c>
      <c r="K37" s="67">
        <f>'tab 14'!K37/'tab 13'!K37</f>
        <v>4100</v>
      </c>
      <c r="L37" s="67">
        <f>'tab 14'!L37/'tab 13'!L37</f>
        <v>3600</v>
      </c>
      <c r="M37" s="67">
        <f>'tab 14'!M37/'tab 13'!M37</f>
        <v>3678.125</v>
      </c>
      <c r="N37" s="67">
        <f>'tab 14'!N37/'tab 13'!N37</f>
        <v>3385.7023875624654</v>
      </c>
      <c r="O37" s="17"/>
    </row>
    <row r="38" spans="1:15">
      <c r="A38" s="62">
        <v>2012</v>
      </c>
      <c r="B38" s="67">
        <f>'tab 14'!B38/'tab 13'!B38</f>
        <v>4000</v>
      </c>
      <c r="C38" s="67">
        <f>'tab 14'!C38/'tab 13'!C38</f>
        <v>3900</v>
      </c>
      <c r="D38" s="67">
        <f>'tab 14'!D38/'tab 13'!D38</f>
        <v>4580</v>
      </c>
      <c r="E38" s="67">
        <f>'tab 14'!E38/'tab 13'!E38</f>
        <v>3900</v>
      </c>
      <c r="F38" s="67">
        <f>'tab 14'!F38/'tab 13'!F38</f>
        <v>4317.5384615384619</v>
      </c>
      <c r="G38" s="67">
        <f>'tab 14'!G38/'tab 13'!G38</f>
        <v>3650</v>
      </c>
      <c r="H38" s="67">
        <f>'tab 14'!H38/'tab 13'!H38</f>
        <v>3600</v>
      </c>
      <c r="I38" s="67">
        <f>'tab 14'!I38/'tab 13'!I38</f>
        <v>2600</v>
      </c>
      <c r="J38" s="67">
        <f>'tab 14'!J38/'tab 13'!J38</f>
        <v>3550</v>
      </c>
      <c r="K38" s="67">
        <f>'tab 14'!K38/'tab 13'!K38</f>
        <v>4100</v>
      </c>
      <c r="L38" s="67">
        <f>'tab 14'!L38/'tab 13'!L38</f>
        <v>4030</v>
      </c>
      <c r="M38" s="67">
        <f>'tab 14'!M38/'tab 13'!M38</f>
        <v>4041.1111111111113</v>
      </c>
      <c r="N38" s="67">
        <f>'tab 14'!N38/'tab 13'!N38</f>
        <v>4210.6483790523689</v>
      </c>
      <c r="O38" s="17"/>
    </row>
    <row r="39" spans="1:15">
      <c r="A39" s="62">
        <v>2013</v>
      </c>
      <c r="B39" s="67">
        <f>'tab 14'!B39/'tab 13'!B39</f>
        <v>3550</v>
      </c>
      <c r="C39" s="67">
        <f>'tab 14'!C39/'tab 13'!C39</f>
        <v>3950</v>
      </c>
      <c r="D39" s="67">
        <f>'tab 14'!D39/'tab 13'!D39</f>
        <v>4430</v>
      </c>
      <c r="E39" s="67">
        <f>'tab 14'!E39/'tab 13'!E39</f>
        <v>3500</v>
      </c>
      <c r="F39" s="67">
        <f>'tab 14'!F39/'tab 13'!F39</f>
        <v>4081.4267990074441</v>
      </c>
      <c r="G39" s="67">
        <f>'tab 14'!G39/'tab 13'!G39</f>
        <v>3700</v>
      </c>
      <c r="H39" s="67">
        <f>'tab 14'!H39/'tab 13'!H39</f>
        <v>3620</v>
      </c>
      <c r="I39" s="67">
        <f>'tab 14'!I39/'tab 13'!I39</f>
        <v>3100</v>
      </c>
      <c r="J39" s="67">
        <f>'tab 14'!J39/'tab 13'!J39</f>
        <v>3603.1428571428573</v>
      </c>
      <c r="K39" s="67">
        <f>'tab 14'!K39/'tab 13'!K39</f>
        <v>3950</v>
      </c>
      <c r="L39" s="67">
        <f>'tab 14'!L39/'tab 13'!L39</f>
        <v>3900</v>
      </c>
      <c r="M39" s="67">
        <f>'tab 14'!M39/'tab 13'!M39</f>
        <v>3908.2474226804125</v>
      </c>
      <c r="N39" s="67">
        <f>'tab 14'!N39/'tab 13'!N39</f>
        <v>4001.1217641418984</v>
      </c>
      <c r="O39" s="17"/>
    </row>
    <row r="40" spans="1:15">
      <c r="A40" s="62">
        <v>2014</v>
      </c>
      <c r="B40" s="67">
        <f>'tab 14'!B40/'tab 13'!B40</f>
        <v>3150</v>
      </c>
      <c r="C40" s="67">
        <f>'tab 14'!C40/'tab 13'!C40</f>
        <v>4000</v>
      </c>
      <c r="D40" s="67">
        <f>'tab 14'!D40/'tab 13'!D40</f>
        <v>4135</v>
      </c>
      <c r="E40" s="67">
        <f>'tab 14'!E40/'tab 13'!E40</f>
        <v>3800</v>
      </c>
      <c r="F40" s="67">
        <f>'tab 14'!F40/'tab 13'!F40</f>
        <v>3916.5402621722847</v>
      </c>
      <c r="G40" s="67">
        <f>'tab 14'!G40/'tab 13'!G40</f>
        <v>4000</v>
      </c>
      <c r="H40" s="67">
        <f>'tab 14'!H40/'tab 13'!H40</f>
        <v>3620</v>
      </c>
      <c r="I40" s="67">
        <f>'tab 14'!I40/'tab 13'!I40</f>
        <v>3500</v>
      </c>
      <c r="J40" s="67">
        <f>'tab 14'!J40/'tab 13'!J40</f>
        <v>3645.5438596491226</v>
      </c>
      <c r="K40" s="67">
        <f>'tab 14'!K40/'tab 13'!K40</f>
        <v>4450</v>
      </c>
      <c r="L40" s="67">
        <f>'tab 14'!L40/'tab 13'!L40</f>
        <v>4320</v>
      </c>
      <c r="M40" s="67">
        <f>'tab 14'!M40/'tab 13'!M40</f>
        <v>4342.0535714285716</v>
      </c>
      <c r="N40" s="67">
        <f>'tab 14'!N40/'tab 13'!N40</f>
        <v>3923.3761814744803</v>
      </c>
      <c r="O40" s="17"/>
    </row>
    <row r="41" spans="1:15">
      <c r="A41" s="62">
        <v>2015</v>
      </c>
      <c r="B41" s="67">
        <f>'tab 14'!B41/'tab 13'!B41</f>
        <v>3250</v>
      </c>
      <c r="C41" s="67">
        <f>'tab 14'!C41/'tab 13'!C41</f>
        <v>3600</v>
      </c>
      <c r="D41" s="67">
        <f>'tab 14'!D41/'tab 13'!D41</f>
        <v>4330</v>
      </c>
      <c r="E41" s="67">
        <f>'tab 14'!E41/'tab 13'!E41</f>
        <v>3200</v>
      </c>
      <c r="F41" s="67">
        <f>'tab 14'!F41/'tab 13'!F41</f>
        <v>3961.8416927899689</v>
      </c>
      <c r="G41" s="67">
        <f>'tab 14'!G41/'tab 13'!G41</f>
        <v>3400</v>
      </c>
      <c r="H41" s="67">
        <f>'tab 14'!H41/'tab 13'!H41</f>
        <v>3200</v>
      </c>
      <c r="I41" s="67">
        <f>'tab 14'!I41/'tab 13'!I41</f>
        <v>3130</v>
      </c>
      <c r="J41" s="67">
        <f>'tab 14'!J41/'tab 13'!J41</f>
        <v>3208.1442146450531</v>
      </c>
      <c r="K41" s="67">
        <f>'tab 14'!K41/'tab 13'!K41</f>
        <v>3650</v>
      </c>
      <c r="L41" s="67">
        <f>'tab 14'!L41/'tab 13'!L41</f>
        <v>3480</v>
      </c>
      <c r="M41" s="67">
        <f>'tab 14'!M41/'tab 13'!M41</f>
        <v>3510.4716981132074</v>
      </c>
      <c r="N41" s="67">
        <f>'tab 14'!N41/'tab 13'!N41</f>
        <v>3844.8055608943555</v>
      </c>
      <c r="O41" s="17"/>
    </row>
    <row r="42" spans="1:15">
      <c r="A42" s="62">
        <v>2016</v>
      </c>
      <c r="B42" s="67">
        <f>'tab 14'!B42/'tab 13'!B42</f>
        <v>3600</v>
      </c>
      <c r="C42" s="67">
        <f>'tab 14'!C42/'tab 13'!C42</f>
        <v>3800</v>
      </c>
      <c r="D42" s="67">
        <f>'tab 14'!D42/'tab 13'!D42</f>
        <v>3900</v>
      </c>
      <c r="E42" s="67">
        <f>'tab 14'!E42/'tab 13'!E42</f>
        <v>3200</v>
      </c>
      <c r="F42" s="67">
        <f>'tab 14'!F42/'tab 13'!F42</f>
        <v>3783.0479452054797</v>
      </c>
      <c r="G42" s="67">
        <f>'tab 14'!G42/'tab 13'!G42</f>
        <v>3700</v>
      </c>
      <c r="H42" s="67">
        <f>'tab 14'!H42/'tab 13'!H42</f>
        <v>2730</v>
      </c>
      <c r="I42" s="67">
        <f>'tab 14'!I42/'tab 13'!I42</f>
        <v>2800</v>
      </c>
      <c r="J42" s="67">
        <f>'tab 14'!J42/'tab 13'!J42</f>
        <v>2971.1693548387098</v>
      </c>
      <c r="K42" s="67">
        <f>'tab 14'!K42/'tab 13'!K42</f>
        <v>3650</v>
      </c>
      <c r="L42" s="67">
        <f>'tab 14'!L42/'tab 13'!L42</f>
        <v>3530</v>
      </c>
      <c r="M42" s="67">
        <f>'tab 14'!M42/'tab 13'!M42</f>
        <v>3551</v>
      </c>
      <c r="N42" s="67">
        <f>'tab 14'!N42/'tab 13'!N42</f>
        <v>3633.8346354166665</v>
      </c>
      <c r="O42" s="17"/>
    </row>
    <row r="43" spans="1:15">
      <c r="A43" s="62">
        <v>2017</v>
      </c>
      <c r="B43" s="67">
        <f>'tab 14'!B43/'tab 13'!B43</f>
        <v>3650</v>
      </c>
      <c r="C43" s="67">
        <f>'tab 14'!C43/'tab 13'!C43</f>
        <v>3450</v>
      </c>
      <c r="D43" s="67">
        <f>'tab 14'!D43/'tab 13'!D43</f>
        <v>4330</v>
      </c>
      <c r="E43" s="67">
        <f>'tab 14'!E43/'tab 13'!E43</f>
        <v>4000</v>
      </c>
      <c r="F43" s="67">
        <f>'tab 14'!F43/'tab 13'!F43</f>
        <v>4075.4765395894428</v>
      </c>
      <c r="G43" s="67">
        <f>'tab 14'!G43/'tab 13'!G43</f>
        <v>3780</v>
      </c>
      <c r="H43" s="67">
        <f>'tab 14'!H43/'tab 13'!H43</f>
        <v>3320</v>
      </c>
      <c r="I43" s="67">
        <f>'tab 14'!I43/'tab 13'!I43</f>
        <v>3500</v>
      </c>
      <c r="J43" s="67">
        <f>'tab 14'!J43/'tab 13'!J43</f>
        <v>3575.7847533632284</v>
      </c>
      <c r="K43" s="67">
        <f>'tab 14'!K43/'tab 13'!K43</f>
        <v>4440</v>
      </c>
      <c r="L43" s="67">
        <f>'tab 14'!L43/'tab 13'!L43</f>
        <v>4100</v>
      </c>
      <c r="M43" s="67">
        <f>'tab 14'!M43/'tab 13'!M43</f>
        <v>4163.75</v>
      </c>
      <c r="N43" s="67">
        <f>'tab 14'!N43/'tab 13'!N43</f>
        <v>4007.3271006983555</v>
      </c>
      <c r="O43" s="17"/>
    </row>
    <row r="44" spans="1:15">
      <c r="A44" s="11">
        <v>2018</v>
      </c>
      <c r="B44" s="18">
        <f>'tab 14'!B44/'tab 13'!B44</f>
        <v>3400</v>
      </c>
      <c r="C44" s="18">
        <f>'tab 14'!C44/'tab 13'!C44</f>
        <v>3600</v>
      </c>
      <c r="D44" s="18">
        <f>'tab 14'!D44/'tab 13'!D44</f>
        <v>4450</v>
      </c>
      <c r="E44" s="18">
        <f>'tab 14'!E44/'tab 13'!E44</f>
        <v>3400</v>
      </c>
      <c r="F44" s="18">
        <f>'tab 14'!F44/'tab 13'!F44</f>
        <v>4085.1606805293004</v>
      </c>
      <c r="G44" s="18">
        <f>'tab 14'!G44/'tab 13'!G44</f>
        <v>3100</v>
      </c>
      <c r="H44" s="18">
        <f>'tab 14'!H44/'tab 13'!H44</f>
        <v>3300</v>
      </c>
      <c r="I44" s="18">
        <f>'tab 14'!I44/'tab 13'!I44</f>
        <v>3000</v>
      </c>
      <c r="J44" s="18">
        <f>'tab 14'!J44/'tab 13'!J44</f>
        <v>3482.7586206896553</v>
      </c>
      <c r="K44" s="18">
        <f>'tab 14'!K44/'tab 13'!K44</f>
        <v>4200</v>
      </c>
      <c r="L44" s="18">
        <f>'tab 14'!L44/'tab 13'!L44</f>
        <v>3900</v>
      </c>
      <c r="M44" s="18">
        <f>'tab 14'!M44/'tab 13'!M44</f>
        <v>3959.0163934426228</v>
      </c>
      <c r="N44" s="18">
        <f>'tab 14'!N44/'tab 13'!N44</f>
        <v>3990.9389842893679</v>
      </c>
    </row>
    <row r="45" spans="1:15">
      <c r="A45" s="129" t="s">
        <v>504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5" ht="13.2" customHeight="1">
      <c r="A46" s="107" t="s">
        <v>529</v>
      </c>
    </row>
    <row r="47" spans="1:15">
      <c r="L47" s="269"/>
      <c r="M47" s="269"/>
      <c r="N47" s="269" t="s">
        <v>679</v>
      </c>
    </row>
  </sheetData>
  <phoneticPr fontId="0" type="noConversion"/>
  <pageMargins left="0.7" right="0.7" top="0.75" bottom="0.75" header="0.3" footer="0.3"/>
  <pageSetup scale="21" firstPageNumber="43" orientation="portrait" useFirstPageNumber="1" r:id="rId1"/>
  <headerFooter alignWithMargins="0">
    <oddFooter>&amp;C&amp;P
Oil Crops Yearbook/OCS-2018
March 2018
Economic Research Service, USDA</oddFooter>
  </headerFooter>
  <ignoredErrors>
    <ignoredError sqref="A6:A3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46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0.28515625" customWidth="1"/>
    <col min="2" max="6" width="21.7109375" customWidth="1"/>
  </cols>
  <sheetData>
    <row r="1" spans="1:6">
      <c r="A1" s="114" t="s">
        <v>631</v>
      </c>
      <c r="B1" s="1"/>
      <c r="C1" s="1"/>
      <c r="D1" s="1"/>
      <c r="E1" s="1"/>
      <c r="F1" s="1"/>
    </row>
    <row r="2" spans="1:6">
      <c r="A2" s="1" t="s">
        <v>247</v>
      </c>
      <c r="B2" s="283" t="s">
        <v>62</v>
      </c>
      <c r="C2" s="283" t="s">
        <v>63</v>
      </c>
      <c r="D2" s="283" t="s">
        <v>64</v>
      </c>
      <c r="E2" s="283" t="s">
        <v>66</v>
      </c>
      <c r="F2" s="327" t="s">
        <v>67</v>
      </c>
    </row>
    <row r="3" spans="1:6">
      <c r="B3" s="323" t="s">
        <v>248</v>
      </c>
      <c r="C3" s="35"/>
      <c r="D3" s="7" t="s">
        <v>345</v>
      </c>
      <c r="E3" s="7" t="s">
        <v>201</v>
      </c>
      <c r="F3" s="8">
        <v>1000</v>
      </c>
    </row>
    <row r="4" spans="1:6">
      <c r="B4" s="35"/>
      <c r="C4" s="35"/>
      <c r="D4" s="7"/>
      <c r="E4" s="7"/>
      <c r="F4" s="8"/>
    </row>
    <row r="5" spans="1:6">
      <c r="A5" s="10">
        <v>1980</v>
      </c>
      <c r="B5" s="19">
        <v>14534</v>
      </c>
      <c r="C5" s="19">
        <v>13215</v>
      </c>
      <c r="D5" s="19">
        <f t="shared" ref="D5:D27" si="0">+E5*2000/C5</f>
        <v>676.57964434354903</v>
      </c>
      <c r="E5" s="19">
        <v>4470.5</v>
      </c>
      <c r="F5" s="19">
        <v>574511</v>
      </c>
    </row>
    <row r="6" spans="1:6">
      <c r="A6" s="10">
        <v>1981</v>
      </c>
      <c r="B6" s="19">
        <v>14330</v>
      </c>
      <c r="C6" s="19">
        <v>13841</v>
      </c>
      <c r="D6" s="19">
        <f t="shared" si="0"/>
        <v>924.34072682609633</v>
      </c>
      <c r="E6" s="19">
        <v>6396.9</v>
      </c>
      <c r="F6" s="19">
        <v>549041</v>
      </c>
    </row>
    <row r="7" spans="1:6">
      <c r="A7" s="10">
        <v>1982</v>
      </c>
      <c r="B7" s="19">
        <v>11345</v>
      </c>
      <c r="C7" s="19">
        <v>9734</v>
      </c>
      <c r="D7" s="19">
        <f t="shared" si="0"/>
        <v>974.70721183480589</v>
      </c>
      <c r="E7" s="19">
        <v>4743.8999999999996</v>
      </c>
      <c r="F7" s="19">
        <v>366240</v>
      </c>
    </row>
    <row r="8" spans="1:6">
      <c r="A8" s="10">
        <v>1983</v>
      </c>
      <c r="B8" s="19">
        <v>7926</v>
      </c>
      <c r="C8" s="19">
        <v>7348</v>
      </c>
      <c r="D8" s="19">
        <f t="shared" si="0"/>
        <v>837.15296679368532</v>
      </c>
      <c r="E8" s="19">
        <v>3075.7</v>
      </c>
      <c r="F8" s="19">
        <v>511450</v>
      </c>
    </row>
    <row r="9" spans="1:6">
      <c r="A9" s="10">
        <v>1984</v>
      </c>
      <c r="B9" s="19">
        <v>11145</v>
      </c>
      <c r="C9" s="19">
        <v>10379</v>
      </c>
      <c r="D9" s="19">
        <f t="shared" si="0"/>
        <v>992.17651026110411</v>
      </c>
      <c r="E9" s="19">
        <v>5148.8999999999996</v>
      </c>
      <c r="F9" s="19">
        <v>511953</v>
      </c>
    </row>
    <row r="10" spans="1:6">
      <c r="A10" s="10">
        <v>1985</v>
      </c>
      <c r="B10" s="19">
        <v>10685</v>
      </c>
      <c r="C10" s="19">
        <v>10229</v>
      </c>
      <c r="D10" s="19">
        <f t="shared" si="0"/>
        <v>1032.2025613451951</v>
      </c>
      <c r="E10" s="19">
        <v>5279.2</v>
      </c>
      <c r="F10" s="19">
        <v>348342</v>
      </c>
    </row>
    <row r="11" spans="1:6">
      <c r="A11" s="10">
        <v>1986</v>
      </c>
      <c r="B11" s="19">
        <v>10045</v>
      </c>
      <c r="C11" s="19">
        <v>8468</v>
      </c>
      <c r="D11" s="19">
        <f t="shared" si="0"/>
        <v>897.70902220122821</v>
      </c>
      <c r="E11" s="19">
        <v>3800.9</v>
      </c>
      <c r="F11" s="19">
        <v>303965</v>
      </c>
    </row>
    <row r="12" spans="1:6">
      <c r="A12" s="10">
        <v>1987</v>
      </c>
      <c r="B12" s="19">
        <v>10397</v>
      </c>
      <c r="C12" s="19">
        <v>10030</v>
      </c>
      <c r="D12" s="19">
        <f t="shared" si="0"/>
        <v>1150.3888334995015</v>
      </c>
      <c r="E12" s="19">
        <v>5769.2</v>
      </c>
      <c r="F12" s="19">
        <v>474703</v>
      </c>
    </row>
    <row r="13" spans="1:6">
      <c r="A13" s="10">
        <v>1988</v>
      </c>
      <c r="B13" s="19">
        <v>12515</v>
      </c>
      <c r="C13" s="19">
        <v>11948</v>
      </c>
      <c r="D13" s="19">
        <f t="shared" si="0"/>
        <v>1014.6970204218279</v>
      </c>
      <c r="E13" s="19">
        <v>6061.8</v>
      </c>
      <c r="F13" s="19">
        <v>718255</v>
      </c>
    </row>
    <row r="14" spans="1:6">
      <c r="A14" s="10">
        <v>1989</v>
      </c>
      <c r="B14" s="19">
        <v>10587</v>
      </c>
      <c r="C14" s="19">
        <v>9538</v>
      </c>
      <c r="D14" s="19">
        <f t="shared" si="0"/>
        <v>980.79261899769347</v>
      </c>
      <c r="E14" s="19">
        <v>4677.3999999999996</v>
      </c>
      <c r="F14" s="19">
        <v>492683</v>
      </c>
    </row>
    <row r="15" spans="1:6">
      <c r="A15" s="10">
        <v>1990</v>
      </c>
      <c r="B15" s="19">
        <v>12348</v>
      </c>
      <c r="C15" s="19">
        <v>11732</v>
      </c>
      <c r="D15" s="19">
        <f t="shared" si="0"/>
        <v>1017.4735765427889</v>
      </c>
      <c r="E15" s="19">
        <v>5968.5</v>
      </c>
      <c r="F15" s="19">
        <v>722313</v>
      </c>
    </row>
    <row r="16" spans="1:6">
      <c r="A16" s="10">
        <v>1991</v>
      </c>
      <c r="B16" s="19">
        <v>14052</v>
      </c>
      <c r="C16" s="19">
        <v>12960</v>
      </c>
      <c r="D16" s="19">
        <f t="shared" si="0"/>
        <v>1068.75</v>
      </c>
      <c r="E16" s="19">
        <v>6925.5</v>
      </c>
      <c r="F16" s="19">
        <v>492261</v>
      </c>
    </row>
    <row r="17" spans="1:6">
      <c r="A17" s="10">
        <v>1992</v>
      </c>
      <c r="B17" s="19">
        <v>13240</v>
      </c>
      <c r="C17" s="19">
        <v>11123.3</v>
      </c>
      <c r="D17" s="19">
        <f t="shared" si="0"/>
        <v>1120.1891524997079</v>
      </c>
      <c r="E17" s="19">
        <v>6230.1</v>
      </c>
      <c r="F17" s="19">
        <v>608438</v>
      </c>
    </row>
    <row r="18" spans="1:6">
      <c r="A18" s="10">
        <v>1993</v>
      </c>
      <c r="B18" s="19">
        <v>13438.3</v>
      </c>
      <c r="C18" s="19">
        <v>12783.3</v>
      </c>
      <c r="D18" s="19">
        <f t="shared" si="0"/>
        <v>992.41979770481805</v>
      </c>
      <c r="E18" s="19">
        <v>6343.2</v>
      </c>
      <c r="F18" s="19">
        <v>714389</v>
      </c>
    </row>
    <row r="19" spans="1:6">
      <c r="A19" s="10">
        <v>1994</v>
      </c>
      <c r="B19" s="19">
        <v>13720.1</v>
      </c>
      <c r="C19" s="19">
        <v>13322.3</v>
      </c>
      <c r="D19" s="19">
        <f t="shared" si="0"/>
        <v>1141.529615757039</v>
      </c>
      <c r="E19" s="19">
        <v>7603.9</v>
      </c>
      <c r="F19" s="19">
        <v>771315</v>
      </c>
    </row>
    <row r="20" spans="1:6">
      <c r="A20" s="10">
        <v>1995</v>
      </c>
      <c r="B20" s="19">
        <v>16931.400000000001</v>
      </c>
      <c r="C20" s="19">
        <v>16006.7</v>
      </c>
      <c r="D20" s="19">
        <f t="shared" si="0"/>
        <v>855.72916341282087</v>
      </c>
      <c r="E20" s="19">
        <v>6848.7</v>
      </c>
      <c r="F20" s="19">
        <v>731005</v>
      </c>
    </row>
    <row r="21" spans="1:6">
      <c r="A21" s="10">
        <v>1996</v>
      </c>
      <c r="B21" s="19">
        <v>14652.5</v>
      </c>
      <c r="C21" s="19">
        <v>12888.1</v>
      </c>
      <c r="D21" s="19">
        <f t="shared" si="0"/>
        <v>1108.5419883458385</v>
      </c>
      <c r="E21" s="19">
        <v>7143.5</v>
      </c>
      <c r="F21" s="19">
        <v>914564</v>
      </c>
    </row>
    <row r="22" spans="1:6">
      <c r="A22" s="10">
        <v>1997</v>
      </c>
      <c r="B22" s="19">
        <v>13898</v>
      </c>
      <c r="C22" s="19">
        <v>13406</v>
      </c>
      <c r="D22" s="19">
        <f t="shared" si="0"/>
        <v>1034.5516932716694</v>
      </c>
      <c r="E22" s="19">
        <v>6934.6</v>
      </c>
      <c r="F22" s="19">
        <v>835371</v>
      </c>
    </row>
    <row r="23" spans="1:6">
      <c r="A23" s="10">
        <v>1998</v>
      </c>
      <c r="B23" s="19">
        <v>13393</v>
      </c>
      <c r="C23" s="19">
        <v>10684</v>
      </c>
      <c r="D23" s="19">
        <f t="shared" si="0"/>
        <v>1004.3803818794458</v>
      </c>
      <c r="E23" s="19">
        <v>5365.4</v>
      </c>
      <c r="F23" s="19">
        <v>687179</v>
      </c>
    </row>
    <row r="24" spans="1:6">
      <c r="A24" s="10">
        <v>1999</v>
      </c>
      <c r="B24" s="19">
        <v>14873.5</v>
      </c>
      <c r="C24" s="19">
        <v>13424.9</v>
      </c>
      <c r="D24" s="19">
        <f t="shared" si="0"/>
        <v>946.52474133885539</v>
      </c>
      <c r="E24" s="19">
        <v>6353.5</v>
      </c>
      <c r="F24" s="19">
        <f>+E24*89</f>
        <v>565461.5</v>
      </c>
    </row>
    <row r="25" spans="1:6">
      <c r="A25" s="62">
        <v>2000</v>
      </c>
      <c r="B25" s="66">
        <v>15517.2</v>
      </c>
      <c r="C25" s="66">
        <v>13053</v>
      </c>
      <c r="D25" s="19">
        <f t="shared" si="0"/>
        <v>986.07216731785797</v>
      </c>
      <c r="E25" s="66">
        <v>6435.6</v>
      </c>
      <c r="F25" s="19">
        <f>+E25*105</f>
        <v>675738</v>
      </c>
    </row>
    <row r="26" spans="1:6">
      <c r="A26" s="62">
        <v>2001</v>
      </c>
      <c r="B26" s="66">
        <v>15768.5</v>
      </c>
      <c r="C26" s="66">
        <v>13827.7</v>
      </c>
      <c r="D26" s="19">
        <f t="shared" si="0"/>
        <v>1077.8654440000867</v>
      </c>
      <c r="E26" s="66">
        <v>7452.2</v>
      </c>
      <c r="F26" s="66">
        <f>+E26*92.5</f>
        <v>689328.5</v>
      </c>
    </row>
    <row r="27" spans="1:6">
      <c r="A27" s="62">
        <v>2002</v>
      </c>
      <c r="B27" s="66">
        <v>13957.9</v>
      </c>
      <c r="C27" s="66">
        <v>12416.6</v>
      </c>
      <c r="D27" s="19">
        <f t="shared" si="0"/>
        <v>996.06977755585262</v>
      </c>
      <c r="E27" s="66">
        <v>6183.9</v>
      </c>
      <c r="F27" s="66">
        <v>616352</v>
      </c>
    </row>
    <row r="28" spans="1:6">
      <c r="A28" s="62">
        <v>2003</v>
      </c>
      <c r="B28" s="66">
        <v>13479.6</v>
      </c>
      <c r="C28" s="66">
        <v>12003.4</v>
      </c>
      <c r="D28" s="19">
        <f t="shared" ref="D28:D33" si="1">+E28*2000/C28</f>
        <v>1110.4520385890664</v>
      </c>
      <c r="E28" s="66">
        <v>6664.6</v>
      </c>
      <c r="F28" s="66">
        <v>778994</v>
      </c>
    </row>
    <row r="29" spans="1:6">
      <c r="A29" s="62">
        <v>2004</v>
      </c>
      <c r="B29" s="66">
        <v>13658.6</v>
      </c>
      <c r="C29" s="66">
        <v>13057</v>
      </c>
      <c r="D29" s="19">
        <f t="shared" si="1"/>
        <v>1255.7402159761048</v>
      </c>
      <c r="E29" s="66">
        <v>8198.1</v>
      </c>
      <c r="F29" s="66">
        <v>872796</v>
      </c>
    </row>
    <row r="30" spans="1:6">
      <c r="A30" s="62">
        <v>2005</v>
      </c>
      <c r="B30" s="66">
        <v>14245.4</v>
      </c>
      <c r="C30" s="66">
        <v>13802.6</v>
      </c>
      <c r="D30" s="19">
        <f t="shared" si="1"/>
        <v>1184.1392201469289</v>
      </c>
      <c r="E30" s="66">
        <v>8172.1</v>
      </c>
      <c r="F30" s="66">
        <v>779500</v>
      </c>
    </row>
    <row r="31" spans="1:6">
      <c r="A31" s="62">
        <v>2006</v>
      </c>
      <c r="B31" s="66">
        <v>15274</v>
      </c>
      <c r="C31" s="66">
        <v>12731.5</v>
      </c>
      <c r="D31" s="19">
        <f t="shared" si="1"/>
        <v>1154.2866119467462</v>
      </c>
      <c r="E31" s="66">
        <v>7347.9</v>
      </c>
      <c r="F31" s="66">
        <v>814151</v>
      </c>
    </row>
    <row r="32" spans="1:6">
      <c r="A32" s="62">
        <v>2007</v>
      </c>
      <c r="B32" s="66">
        <v>10827.2</v>
      </c>
      <c r="C32" s="66">
        <v>10489.1</v>
      </c>
      <c r="D32" s="19">
        <f t="shared" si="1"/>
        <v>1256.2946296631742</v>
      </c>
      <c r="E32" s="66">
        <v>6588.7</v>
      </c>
      <c r="F32" s="66">
        <v>1069849</v>
      </c>
    </row>
    <row r="33" spans="1:8">
      <c r="A33" s="62">
        <v>2008</v>
      </c>
      <c r="B33" s="66">
        <v>9471</v>
      </c>
      <c r="C33" s="66">
        <v>7568.7000000000007</v>
      </c>
      <c r="D33" s="19">
        <f t="shared" si="1"/>
        <v>1136.337812305944</v>
      </c>
      <c r="E33" s="66">
        <v>4300.3</v>
      </c>
      <c r="F33" s="66">
        <v>962708</v>
      </c>
    </row>
    <row r="34" spans="1:8">
      <c r="A34" s="62">
        <v>2009</v>
      </c>
      <c r="B34" s="66">
        <v>9149.5</v>
      </c>
      <c r="C34" s="66">
        <v>7533.7000000000007</v>
      </c>
      <c r="D34" s="19">
        <f t="shared" ref="D34:D39" si="2">+E34*2000/C34</f>
        <v>1101.3977195800203</v>
      </c>
      <c r="E34" s="66">
        <v>4148.8</v>
      </c>
      <c r="F34" s="66">
        <v>670027</v>
      </c>
    </row>
    <row r="35" spans="1:8">
      <c r="A35" s="62">
        <v>2010</v>
      </c>
      <c r="B35" s="66">
        <v>10974.2</v>
      </c>
      <c r="C35" s="66">
        <v>10698.7</v>
      </c>
      <c r="D35" s="19">
        <f t="shared" si="2"/>
        <v>1139.5963995625636</v>
      </c>
      <c r="E35" s="66">
        <v>6096.1</v>
      </c>
      <c r="F35" s="66">
        <v>988266</v>
      </c>
    </row>
    <row r="36" spans="1:8">
      <c r="A36" s="62">
        <v>2011</v>
      </c>
      <c r="B36" s="66">
        <v>14735.4</v>
      </c>
      <c r="C36" s="66">
        <v>9460.9</v>
      </c>
      <c r="D36" s="19">
        <f t="shared" si="2"/>
        <v>1135.1985540487692</v>
      </c>
      <c r="E36" s="66">
        <v>5370</v>
      </c>
      <c r="F36" s="66">
        <v>1413343</v>
      </c>
    </row>
    <row r="37" spans="1:8">
      <c r="A37" s="62">
        <v>2012</v>
      </c>
      <c r="B37" s="66">
        <v>12264.4</v>
      </c>
      <c r="C37" s="66">
        <v>9321.7999999999993</v>
      </c>
      <c r="D37" s="19">
        <f t="shared" si="2"/>
        <v>1215.6450470939089</v>
      </c>
      <c r="E37" s="66">
        <v>5666</v>
      </c>
      <c r="F37" s="66">
        <v>1456245</v>
      </c>
    </row>
    <row r="38" spans="1:8">
      <c r="A38" s="62">
        <v>2013</v>
      </c>
      <c r="B38" s="66">
        <v>10407</v>
      </c>
      <c r="C38" s="66">
        <v>7544.4</v>
      </c>
      <c r="D38" s="19">
        <f t="shared" si="2"/>
        <v>1114.2039128360109</v>
      </c>
      <c r="E38" s="66">
        <v>4203</v>
      </c>
      <c r="F38" s="66">
        <v>1054003</v>
      </c>
    </row>
    <row r="39" spans="1:8">
      <c r="A39" s="62">
        <v>2014</v>
      </c>
      <c r="B39" s="212">
        <v>11148.4</v>
      </c>
      <c r="C39" s="212">
        <v>9351.7999999999993</v>
      </c>
      <c r="D39" s="19">
        <f t="shared" si="2"/>
        <v>1096.0456810453604</v>
      </c>
      <c r="E39" s="213">
        <v>5125</v>
      </c>
      <c r="F39" s="213">
        <v>1015607</v>
      </c>
    </row>
    <row r="40" spans="1:8">
      <c r="A40" s="62">
        <v>2015</v>
      </c>
      <c r="B40" s="212">
        <v>8580.5</v>
      </c>
      <c r="C40" s="212">
        <v>8074.9</v>
      </c>
      <c r="D40" s="19">
        <f>+E40*2000/C40</f>
        <v>1001.3746300263781</v>
      </c>
      <c r="E40" s="213">
        <v>4043</v>
      </c>
      <c r="F40" s="213">
        <v>932894</v>
      </c>
    </row>
    <row r="41" spans="1:8">
      <c r="A41" s="62">
        <v>2016</v>
      </c>
      <c r="B41" s="212">
        <v>10072.5</v>
      </c>
      <c r="C41" s="212">
        <v>9507.7999999999993</v>
      </c>
      <c r="D41" s="19">
        <f>+E41*2000/C41</f>
        <v>1129.3885020719831</v>
      </c>
      <c r="E41" s="213">
        <v>5369</v>
      </c>
      <c r="F41" s="213">
        <v>1055924</v>
      </c>
    </row>
    <row r="42" spans="1:8">
      <c r="A42" s="115">
        <v>2017</v>
      </c>
      <c r="B42" s="212">
        <v>12717.5</v>
      </c>
      <c r="C42" s="212">
        <v>11100.4</v>
      </c>
      <c r="D42" s="66">
        <f>+E42*2000/C42</f>
        <v>1157.0754207055602</v>
      </c>
      <c r="E42" s="213">
        <v>6422</v>
      </c>
      <c r="F42" s="213">
        <v>892658</v>
      </c>
    </row>
    <row r="43" spans="1:8">
      <c r="A43" s="118" t="s">
        <v>629</v>
      </c>
      <c r="B43" s="255">
        <v>14099</v>
      </c>
      <c r="C43" s="255">
        <v>10530.5</v>
      </c>
      <c r="D43" s="20">
        <f>+E43*2000/C43</f>
        <v>1100.4225820236456</v>
      </c>
      <c r="E43" s="254">
        <v>5794</v>
      </c>
      <c r="F43" s="254">
        <v>782190</v>
      </c>
    </row>
    <row r="44" spans="1:8" ht="12" customHeight="1">
      <c r="A44" s="107" t="s">
        <v>172</v>
      </c>
    </row>
    <row r="45" spans="1:8" ht="12" customHeight="1">
      <c r="A45" s="107" t="s">
        <v>530</v>
      </c>
      <c r="G45" s="188"/>
      <c r="H45" s="188"/>
    </row>
    <row r="46" spans="1:8" ht="10.199999999999999" customHeight="1">
      <c r="F46" s="269" t="s">
        <v>679</v>
      </c>
      <c r="G46" s="161"/>
      <c r="H46" s="161"/>
    </row>
  </sheetData>
  <phoneticPr fontId="0" type="noConversion"/>
  <pageMargins left="0.7" right="0.7" top="0.75" bottom="0.75" header="0.3" footer="0.3"/>
  <pageSetup scale="95" firstPageNumber="44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50"/>
  <sheetViews>
    <sheetView zoomScaleNormal="100" zoomScaleSheetLayoutView="100" workbookViewId="0">
      <selection activeCell="A105" sqref="A105"/>
    </sheetView>
  </sheetViews>
  <sheetFormatPr defaultRowHeight="10.199999999999999"/>
  <cols>
    <col min="1" max="10" width="11.7109375" customWidth="1"/>
    <col min="11" max="11" width="12.85546875" customWidth="1"/>
    <col min="12" max="12" width="18.7109375" bestFit="1" customWidth="1"/>
  </cols>
  <sheetData>
    <row r="1" spans="1:12">
      <c r="A1" s="136" t="s">
        <v>632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t="s">
        <v>107</v>
      </c>
      <c r="B2" s="383"/>
      <c r="C2" s="299" t="s">
        <v>119</v>
      </c>
      <c r="D2" s="279"/>
      <c r="E2" s="382"/>
      <c r="F2" s="283"/>
      <c r="G2" s="306" t="s">
        <v>117</v>
      </c>
      <c r="H2" s="283"/>
      <c r="I2" s="382"/>
      <c r="K2" s="9" t="s">
        <v>118</v>
      </c>
    </row>
    <row r="3" spans="1:12">
      <c r="A3" t="s">
        <v>100</v>
      </c>
      <c r="B3" s="364" t="s">
        <v>141</v>
      </c>
      <c r="C3" s="7" t="s">
        <v>66</v>
      </c>
      <c r="D3" s="173" t="s">
        <v>88</v>
      </c>
      <c r="E3" s="381" t="s">
        <v>283</v>
      </c>
      <c r="F3" s="7" t="s">
        <v>111</v>
      </c>
      <c r="G3" s="7" t="s">
        <v>90</v>
      </c>
      <c r="H3" s="173" t="s">
        <v>249</v>
      </c>
      <c r="I3" s="378" t="s">
        <v>3</v>
      </c>
      <c r="J3" s="7" t="s">
        <v>143</v>
      </c>
      <c r="K3" s="7" t="s">
        <v>560</v>
      </c>
    </row>
    <row r="4" spans="1:12">
      <c r="A4" t="s">
        <v>102</v>
      </c>
      <c r="B4" s="364" t="s">
        <v>110</v>
      </c>
      <c r="C4" s="7"/>
      <c r="D4" s="7"/>
      <c r="E4" s="367"/>
      <c r="I4" s="389"/>
      <c r="J4" s="7" t="s">
        <v>110</v>
      </c>
      <c r="K4" s="7" t="s">
        <v>114</v>
      </c>
    </row>
    <row r="5" spans="1:12">
      <c r="A5" s="1"/>
      <c r="B5" s="365"/>
      <c r="C5" s="1"/>
      <c r="D5" s="1"/>
      <c r="E5" s="368"/>
      <c r="F5" s="1"/>
      <c r="G5" s="1"/>
      <c r="H5" s="1"/>
      <c r="I5" s="368"/>
      <c r="J5" s="1"/>
      <c r="K5" s="9" t="s">
        <v>168</v>
      </c>
    </row>
    <row r="6" spans="1:12">
      <c r="C6" s="280"/>
      <c r="D6" s="280"/>
      <c r="E6" s="280"/>
      <c r="G6" s="280"/>
      <c r="H6" s="280"/>
      <c r="I6" s="280"/>
      <c r="J6" s="280"/>
      <c r="K6" s="7" t="s">
        <v>287</v>
      </c>
    </row>
    <row r="7" spans="1:12">
      <c r="B7" s="156"/>
      <c r="C7" s="156"/>
      <c r="D7" s="156"/>
      <c r="E7" s="156"/>
      <c r="F7" s="156"/>
      <c r="G7" s="156"/>
      <c r="H7" s="156"/>
      <c r="I7" s="156"/>
      <c r="J7" s="156"/>
      <c r="K7" s="7"/>
    </row>
    <row r="8" spans="1:12">
      <c r="A8" s="10" t="s">
        <v>273</v>
      </c>
      <c r="B8" s="36">
        <v>1058.4000000000001</v>
      </c>
      <c r="C8" s="36">
        <f>+'tab 16'!E5</f>
        <v>4470.5</v>
      </c>
      <c r="D8" s="36">
        <v>0</v>
      </c>
      <c r="E8" s="36">
        <f t="shared" ref="E8:E17" si="0">SUM(B8:D8)</f>
        <v>5528.9</v>
      </c>
      <c r="F8" s="36">
        <v>4075.7999999999997</v>
      </c>
      <c r="G8" s="36">
        <v>132.59999999999997</v>
      </c>
      <c r="H8" s="36">
        <f t="shared" ref="H8:H30" si="1">+I8-F8-G8</f>
        <v>923</v>
      </c>
      <c r="I8" s="36">
        <f t="shared" ref="I8:I46" si="2">+E8-J8</f>
        <v>5131.3999999999996</v>
      </c>
      <c r="J8" s="36">
        <v>397.5</v>
      </c>
      <c r="K8" s="33">
        <v>129</v>
      </c>
      <c r="L8" s="36"/>
    </row>
    <row r="9" spans="1:12">
      <c r="A9" s="10" t="s">
        <v>274</v>
      </c>
      <c r="B9" s="36">
        <f t="shared" ref="B9:B29" si="3">+J8</f>
        <v>397.5</v>
      </c>
      <c r="C9" s="36">
        <f>+'tab 16'!E6</f>
        <v>6396.9</v>
      </c>
      <c r="D9" s="36">
        <v>0</v>
      </c>
      <c r="E9" s="36">
        <f t="shared" si="0"/>
        <v>6794.4</v>
      </c>
      <c r="F9" s="36">
        <v>4584.7</v>
      </c>
      <c r="G9" s="36">
        <v>44.8</v>
      </c>
      <c r="H9" s="36">
        <f t="shared" si="1"/>
        <v>1383.5000000000002</v>
      </c>
      <c r="I9" s="36">
        <f t="shared" si="2"/>
        <v>6013</v>
      </c>
      <c r="J9" s="36">
        <v>781.4</v>
      </c>
      <c r="K9" s="33">
        <v>86</v>
      </c>
      <c r="L9" s="36"/>
    </row>
    <row r="10" spans="1:12">
      <c r="A10" s="10" t="s">
        <v>275</v>
      </c>
      <c r="B10" s="36">
        <f t="shared" si="3"/>
        <v>781.4</v>
      </c>
      <c r="C10" s="36">
        <f>+'tab 16'!E7</f>
        <v>4743.8999999999996</v>
      </c>
      <c r="D10" s="36">
        <v>0</v>
      </c>
      <c r="E10" s="36">
        <f t="shared" si="0"/>
        <v>5525.2999999999993</v>
      </c>
      <c r="F10" s="36">
        <v>3799.4999999999995</v>
      </c>
      <c r="G10" s="36">
        <v>12.2</v>
      </c>
      <c r="H10" s="36">
        <f t="shared" si="1"/>
        <v>1342.7999999999995</v>
      </c>
      <c r="I10" s="36">
        <f t="shared" si="2"/>
        <v>5154.4999999999991</v>
      </c>
      <c r="J10" s="36">
        <v>370.8</v>
      </c>
      <c r="K10" s="33">
        <v>77</v>
      </c>
      <c r="L10" s="36"/>
    </row>
    <row r="11" spans="1:12">
      <c r="A11" s="10" t="s">
        <v>276</v>
      </c>
      <c r="B11" s="36">
        <f t="shared" si="3"/>
        <v>370.8</v>
      </c>
      <c r="C11" s="36">
        <f>+'tab 16'!E8</f>
        <v>3075.7</v>
      </c>
      <c r="D11" s="36">
        <v>0</v>
      </c>
      <c r="E11" s="36">
        <f t="shared" si="0"/>
        <v>3446.5</v>
      </c>
      <c r="F11" s="36">
        <v>2583</v>
      </c>
      <c r="G11" s="36">
        <v>49.8</v>
      </c>
      <c r="H11" s="36">
        <f t="shared" si="1"/>
        <v>697.50000000000023</v>
      </c>
      <c r="I11" s="36">
        <f t="shared" si="2"/>
        <v>3330.3</v>
      </c>
      <c r="J11" s="36">
        <v>116.2</v>
      </c>
      <c r="K11" s="33">
        <v>166</v>
      </c>
      <c r="L11" s="36"/>
    </row>
    <row r="12" spans="1:12">
      <c r="A12" s="10" t="s">
        <v>277</v>
      </c>
      <c r="B12" s="36">
        <f t="shared" si="3"/>
        <v>116.2</v>
      </c>
      <c r="C12" s="36">
        <f>+'tab 16'!E9</f>
        <v>5148.8999999999996</v>
      </c>
      <c r="D12" s="36">
        <v>0</v>
      </c>
      <c r="E12" s="36">
        <f t="shared" si="0"/>
        <v>5265.0999999999995</v>
      </c>
      <c r="F12" s="36">
        <v>3514.1000000000004</v>
      </c>
      <c r="G12" s="36">
        <v>59.8</v>
      </c>
      <c r="H12" s="36">
        <f t="shared" si="1"/>
        <v>1285.2999999999995</v>
      </c>
      <c r="I12" s="36">
        <f t="shared" si="2"/>
        <v>4859.2</v>
      </c>
      <c r="J12" s="36">
        <v>405.9</v>
      </c>
      <c r="K12" s="33">
        <v>99.5</v>
      </c>
      <c r="L12" s="36"/>
    </row>
    <row r="13" spans="1:12">
      <c r="A13" s="10" t="s">
        <v>278</v>
      </c>
      <c r="B13" s="36">
        <f t="shared" si="3"/>
        <v>405.9</v>
      </c>
      <c r="C13" s="36">
        <f>+'tab 16'!E10</f>
        <v>5279.2</v>
      </c>
      <c r="D13" s="36">
        <v>0</v>
      </c>
      <c r="E13" s="36">
        <f t="shared" si="0"/>
        <v>5685.0999999999995</v>
      </c>
      <c r="F13" s="36">
        <v>3417.0000000000009</v>
      </c>
      <c r="G13" s="36">
        <v>8.8000000000000007</v>
      </c>
      <c r="H13" s="36">
        <f t="shared" si="1"/>
        <v>1912.6999999999982</v>
      </c>
      <c r="I13" s="36">
        <f t="shared" si="2"/>
        <v>5338.4999999999991</v>
      </c>
      <c r="J13" s="36">
        <v>346.6</v>
      </c>
      <c r="K13" s="33">
        <v>66</v>
      </c>
      <c r="L13" s="36"/>
    </row>
    <row r="14" spans="1:12">
      <c r="A14" s="10" t="s">
        <v>279</v>
      </c>
      <c r="B14" s="36">
        <f t="shared" si="3"/>
        <v>346.6</v>
      </c>
      <c r="C14" s="36">
        <f>+'tab 16'!E11</f>
        <v>3800.9</v>
      </c>
      <c r="D14" s="36">
        <v>2</v>
      </c>
      <c r="E14" s="36">
        <f t="shared" si="0"/>
        <v>4149.5</v>
      </c>
      <c r="F14" s="36">
        <v>2519.7000000000003</v>
      </c>
      <c r="G14" s="36">
        <v>16.899999999999999</v>
      </c>
      <c r="H14" s="36">
        <f t="shared" si="1"/>
        <v>1423.8999999999996</v>
      </c>
      <c r="I14" s="36">
        <f t="shared" si="2"/>
        <v>3960.5</v>
      </c>
      <c r="J14" s="36">
        <v>189</v>
      </c>
      <c r="K14" s="33">
        <v>80</v>
      </c>
      <c r="L14" s="36"/>
    </row>
    <row r="15" spans="1:12">
      <c r="A15" s="10" t="s">
        <v>280</v>
      </c>
      <c r="B15" s="36">
        <f t="shared" si="3"/>
        <v>189</v>
      </c>
      <c r="C15" s="36">
        <f>+'tab 16'!E12</f>
        <v>5769.2</v>
      </c>
      <c r="D15" s="36">
        <v>2</v>
      </c>
      <c r="E15" s="36">
        <f t="shared" si="0"/>
        <v>5960.2</v>
      </c>
      <c r="F15" s="36">
        <v>3396.2999999999997</v>
      </c>
      <c r="G15" s="36">
        <v>50.300000000000004</v>
      </c>
      <c r="H15" s="36">
        <f t="shared" si="1"/>
        <v>2154.7000000000003</v>
      </c>
      <c r="I15" s="36">
        <f t="shared" si="2"/>
        <v>5601.3</v>
      </c>
      <c r="J15" s="36">
        <v>358.9</v>
      </c>
      <c r="K15" s="33">
        <v>82.5</v>
      </c>
      <c r="L15" s="36"/>
    </row>
    <row r="16" spans="1:12">
      <c r="A16" s="10" t="s">
        <v>281</v>
      </c>
      <c r="B16" s="36">
        <f t="shared" si="3"/>
        <v>358.9</v>
      </c>
      <c r="C16" s="36">
        <f>+'tab 16'!E13</f>
        <v>6061.8</v>
      </c>
      <c r="D16" s="36">
        <v>4</v>
      </c>
      <c r="E16" s="36">
        <f t="shared" si="0"/>
        <v>6424.7</v>
      </c>
      <c r="F16" s="36">
        <v>3730.2000000000003</v>
      </c>
      <c r="G16" s="36">
        <v>38.700000000000003</v>
      </c>
      <c r="H16" s="36">
        <f t="shared" si="1"/>
        <v>1990.8999999999999</v>
      </c>
      <c r="I16" s="36">
        <f t="shared" si="2"/>
        <v>5759.8</v>
      </c>
      <c r="J16" s="36">
        <v>664.9</v>
      </c>
      <c r="K16" s="33">
        <v>119</v>
      </c>
      <c r="L16" s="36"/>
    </row>
    <row r="17" spans="1:12">
      <c r="A17" s="10" t="s">
        <v>9</v>
      </c>
      <c r="B17" s="36">
        <f t="shared" si="3"/>
        <v>664.9</v>
      </c>
      <c r="C17" s="36">
        <f>+'tab 16'!E14</f>
        <v>4677.3999999999996</v>
      </c>
      <c r="D17" s="36">
        <v>0.43935911837999997</v>
      </c>
      <c r="E17" s="36">
        <f t="shared" si="0"/>
        <v>5342.7393591183791</v>
      </c>
      <c r="F17" s="36">
        <v>2973.7000000000003</v>
      </c>
      <c r="G17" s="36">
        <v>45.850223701485</v>
      </c>
      <c r="H17" s="36">
        <f t="shared" si="1"/>
        <v>1956.7891354168942</v>
      </c>
      <c r="I17" s="36">
        <f t="shared" si="2"/>
        <v>4976.3393591183794</v>
      </c>
      <c r="J17" s="36">
        <v>366.4</v>
      </c>
      <c r="K17" s="33">
        <v>105</v>
      </c>
      <c r="L17" s="36"/>
    </row>
    <row r="18" spans="1:12">
      <c r="A18" s="10" t="s">
        <v>10</v>
      </c>
      <c r="B18" s="36">
        <f t="shared" si="3"/>
        <v>366.4</v>
      </c>
      <c r="C18" s="36">
        <f>+'tab 16'!E15</f>
        <v>5968.5</v>
      </c>
      <c r="D18" s="36">
        <v>3.1168427749830006</v>
      </c>
      <c r="E18" s="36">
        <f t="shared" ref="E18:E29" si="4">SUM(B18:D18)</f>
        <v>6338.0168427749823</v>
      </c>
      <c r="F18" s="36">
        <v>3368.9</v>
      </c>
      <c r="G18" s="36">
        <v>53.173908539891997</v>
      </c>
      <c r="H18" s="36">
        <f t="shared" si="1"/>
        <v>2264.94293423509</v>
      </c>
      <c r="I18" s="36">
        <f t="shared" si="2"/>
        <v>5687.0168427749823</v>
      </c>
      <c r="J18" s="36">
        <v>651</v>
      </c>
      <c r="K18" s="33">
        <v>121</v>
      </c>
      <c r="L18" s="36"/>
    </row>
    <row r="19" spans="1:12">
      <c r="A19" s="10" t="s">
        <v>11</v>
      </c>
      <c r="B19" s="36">
        <f t="shared" si="3"/>
        <v>651</v>
      </c>
      <c r="C19" s="36">
        <f>+'tab 16'!E16</f>
        <v>6925.5</v>
      </c>
      <c r="D19" s="36">
        <v>1.8814475633309999</v>
      </c>
      <c r="E19" s="36">
        <f t="shared" si="4"/>
        <v>7578.3814475633308</v>
      </c>
      <c r="F19" s="36">
        <v>3981.0000000000005</v>
      </c>
      <c r="G19" s="36">
        <v>161.41153972349704</v>
      </c>
      <c r="H19" s="36">
        <f t="shared" si="1"/>
        <v>2976.0699078398338</v>
      </c>
      <c r="I19" s="36">
        <f t="shared" si="2"/>
        <v>7118.4814475633311</v>
      </c>
      <c r="J19" s="36">
        <v>459.9</v>
      </c>
      <c r="K19" s="33">
        <v>71</v>
      </c>
      <c r="L19" s="36"/>
    </row>
    <row r="20" spans="1:12">
      <c r="A20" s="10" t="s">
        <v>12</v>
      </c>
      <c r="B20" s="36">
        <f t="shared" si="3"/>
        <v>459.9</v>
      </c>
      <c r="C20" s="36">
        <f>+'tab 16'!E17</f>
        <v>6230.1</v>
      </c>
      <c r="D20" s="36">
        <v>0.244662335694</v>
      </c>
      <c r="E20" s="36">
        <f t="shared" si="4"/>
        <v>6690.2446623356936</v>
      </c>
      <c r="F20" s="36">
        <v>3629.2999999999997</v>
      </c>
      <c r="G20" s="36">
        <v>191.82015772875903</v>
      </c>
      <c r="H20" s="36">
        <f t="shared" si="1"/>
        <v>2503.8245046069346</v>
      </c>
      <c r="I20" s="36">
        <f t="shared" si="2"/>
        <v>6324.9446623356935</v>
      </c>
      <c r="J20" s="36">
        <v>365.3</v>
      </c>
      <c r="K20" s="33">
        <v>97.5</v>
      </c>
      <c r="L20" s="36"/>
    </row>
    <row r="21" spans="1:12">
      <c r="A21" s="10" t="s">
        <v>13</v>
      </c>
      <c r="B21" s="36">
        <f t="shared" si="3"/>
        <v>365.3</v>
      </c>
      <c r="C21" s="36">
        <f>+'tab 16'!E18</f>
        <v>6343.2</v>
      </c>
      <c r="D21" s="36">
        <v>3.8790324090000008E-2</v>
      </c>
      <c r="E21" s="36">
        <f t="shared" si="4"/>
        <v>6708.5387903240899</v>
      </c>
      <c r="F21" s="36">
        <v>3470.0999999999995</v>
      </c>
      <c r="G21" s="36">
        <v>157.28252696252699</v>
      </c>
      <c r="H21" s="36">
        <f t="shared" si="1"/>
        <v>2649.0562633615632</v>
      </c>
      <c r="I21" s="36">
        <f t="shared" si="2"/>
        <v>6276.4387903240895</v>
      </c>
      <c r="J21" s="36">
        <v>432.1</v>
      </c>
      <c r="K21" s="33">
        <v>113</v>
      </c>
      <c r="L21" s="36"/>
    </row>
    <row r="22" spans="1:12">
      <c r="A22" s="10" t="s">
        <v>14</v>
      </c>
      <c r="B22" s="36">
        <f t="shared" si="3"/>
        <v>432.1</v>
      </c>
      <c r="C22" s="36">
        <f>+'tab 16'!E19</f>
        <v>7603.9</v>
      </c>
      <c r="D22" s="36">
        <v>2.0035604736000003E-2</v>
      </c>
      <c r="E22" s="36">
        <f t="shared" si="4"/>
        <v>8036.0200356047362</v>
      </c>
      <c r="F22" s="36">
        <v>3947.2000000000003</v>
      </c>
      <c r="G22" s="36">
        <v>232.1</v>
      </c>
      <c r="H22" s="36">
        <f t="shared" si="1"/>
        <v>3308.2060356047359</v>
      </c>
      <c r="I22" s="36">
        <f t="shared" si="2"/>
        <v>7487.5060356047361</v>
      </c>
      <c r="J22" s="36">
        <v>548.51400000000001</v>
      </c>
      <c r="K22" s="33">
        <v>101</v>
      </c>
      <c r="L22" s="36"/>
    </row>
    <row r="23" spans="1:12">
      <c r="A23" s="10" t="s">
        <v>15</v>
      </c>
      <c r="B23" s="36">
        <f t="shared" si="3"/>
        <v>548.51400000000001</v>
      </c>
      <c r="C23" s="36">
        <f>+'tab 16'!E20</f>
        <v>6848.7</v>
      </c>
      <c r="D23" s="36">
        <v>1.8297624051629999</v>
      </c>
      <c r="E23" s="36">
        <f t="shared" si="4"/>
        <v>7399.0437624051629</v>
      </c>
      <c r="F23" s="36">
        <v>3882</v>
      </c>
      <c r="G23" s="36">
        <v>114.19999999999999</v>
      </c>
      <c r="H23" s="36">
        <f t="shared" si="1"/>
        <v>2908.0067624051635</v>
      </c>
      <c r="I23" s="36">
        <f t="shared" si="2"/>
        <v>6904.2067624051633</v>
      </c>
      <c r="J23" s="36">
        <v>494.83699999999999</v>
      </c>
      <c r="K23" s="33">
        <v>106</v>
      </c>
      <c r="L23" s="36"/>
    </row>
    <row r="24" spans="1:12">
      <c r="A24" s="10" t="s">
        <v>16</v>
      </c>
      <c r="B24" s="36">
        <f t="shared" si="3"/>
        <v>494.83699999999999</v>
      </c>
      <c r="C24" s="36">
        <f>+'tab 16'!E21</f>
        <v>7143.5</v>
      </c>
      <c r="D24" s="36">
        <v>20.183158984149003</v>
      </c>
      <c r="E24" s="36">
        <f t="shared" si="4"/>
        <v>7658.5201589841481</v>
      </c>
      <c r="F24" s="36">
        <v>3860.0129999999995</v>
      </c>
      <c r="G24" s="36">
        <v>115.67322150000001</v>
      </c>
      <c r="H24" s="36">
        <f t="shared" si="1"/>
        <v>3160.0339374841483</v>
      </c>
      <c r="I24" s="36">
        <f t="shared" si="2"/>
        <v>7135.7201589841479</v>
      </c>
      <c r="J24" s="36">
        <v>522.79999999999995</v>
      </c>
      <c r="K24" s="33">
        <v>126</v>
      </c>
      <c r="L24" s="36"/>
    </row>
    <row r="25" spans="1:12">
      <c r="A25" s="10" t="s">
        <v>17</v>
      </c>
      <c r="B25" s="36">
        <f t="shared" si="3"/>
        <v>522.79999999999995</v>
      </c>
      <c r="C25" s="36">
        <f>+'tab 16'!E22</f>
        <v>6934.6</v>
      </c>
      <c r="D25" s="36">
        <v>96.007023258741</v>
      </c>
      <c r="E25" s="36">
        <f t="shared" si="4"/>
        <v>7553.4070232587419</v>
      </c>
      <c r="F25" s="36">
        <v>3888.6050000000005</v>
      </c>
      <c r="G25" s="36">
        <v>149.40000000000003</v>
      </c>
      <c r="H25" s="36">
        <f t="shared" si="1"/>
        <v>2952.4340232587415</v>
      </c>
      <c r="I25" s="36">
        <f t="shared" si="2"/>
        <v>6990.4390232587421</v>
      </c>
      <c r="J25" s="36">
        <v>562.96799999999996</v>
      </c>
      <c r="K25" s="33">
        <v>121</v>
      </c>
      <c r="L25" s="36"/>
    </row>
    <row r="26" spans="1:12">
      <c r="A26" s="10" t="s">
        <v>18</v>
      </c>
      <c r="B26" s="36">
        <f t="shared" si="3"/>
        <v>562.96799999999996</v>
      </c>
      <c r="C26" s="36">
        <f>+'tab 16'!E23</f>
        <v>5365.4</v>
      </c>
      <c r="D26" s="36">
        <v>206.82214085427302</v>
      </c>
      <c r="E26" s="36">
        <f t="shared" si="4"/>
        <v>6135.1901408542726</v>
      </c>
      <c r="F26" s="36">
        <v>2719.0469999999996</v>
      </c>
      <c r="G26" s="36">
        <v>68.05054347235199</v>
      </c>
      <c r="H26" s="36">
        <f t="shared" si="1"/>
        <v>2954.8645973819212</v>
      </c>
      <c r="I26" s="36">
        <f t="shared" si="2"/>
        <v>5741.9621408542725</v>
      </c>
      <c r="J26" s="36">
        <v>393.22800000000001</v>
      </c>
      <c r="K26" s="33">
        <v>129</v>
      </c>
      <c r="L26" s="36"/>
    </row>
    <row r="27" spans="1:12">
      <c r="A27" s="10" t="s">
        <v>19</v>
      </c>
      <c r="B27" s="36">
        <f t="shared" si="3"/>
        <v>393.22800000000001</v>
      </c>
      <c r="C27" s="36">
        <f>+'tab 16'!E24</f>
        <v>6353.5</v>
      </c>
      <c r="D27" s="36">
        <v>308.47893348006005</v>
      </c>
      <c r="E27" s="36">
        <f t="shared" si="4"/>
        <v>7055.2069334800599</v>
      </c>
      <c r="F27" s="36">
        <v>3063.9160000000002</v>
      </c>
      <c r="G27" s="36">
        <v>198.19867592101502</v>
      </c>
      <c r="H27" s="36">
        <f t="shared" si="1"/>
        <v>3518.6922575590452</v>
      </c>
      <c r="I27" s="36">
        <f t="shared" si="2"/>
        <v>6780.8069334800603</v>
      </c>
      <c r="J27" s="36">
        <v>274.39999999999998</v>
      </c>
      <c r="K27" s="33">
        <v>89</v>
      </c>
      <c r="L27" s="36"/>
    </row>
    <row r="28" spans="1:12">
      <c r="A28" s="62" t="s">
        <v>337</v>
      </c>
      <c r="B28" s="74">
        <f t="shared" si="3"/>
        <v>274.39999999999998</v>
      </c>
      <c r="C28" s="36">
        <f>+'tab 16'!E25</f>
        <v>6435.6</v>
      </c>
      <c r="D28" s="74">
        <v>373.72520658690001</v>
      </c>
      <c r="E28" s="36">
        <f t="shared" si="4"/>
        <v>7083.7252065868997</v>
      </c>
      <c r="F28" s="74">
        <v>2752.8</v>
      </c>
      <c r="G28" s="74">
        <v>234.794297707704</v>
      </c>
      <c r="H28" s="36">
        <f t="shared" si="1"/>
        <v>3669.0309088791951</v>
      </c>
      <c r="I28" s="74">
        <f t="shared" si="2"/>
        <v>6656.6252065868994</v>
      </c>
      <c r="J28" s="74">
        <v>427.1</v>
      </c>
      <c r="K28" s="33">
        <v>105</v>
      </c>
      <c r="L28" s="36"/>
    </row>
    <row r="29" spans="1:12">
      <c r="A29" s="62" t="s">
        <v>341</v>
      </c>
      <c r="B29" s="74">
        <f t="shared" si="3"/>
        <v>427.1</v>
      </c>
      <c r="C29" s="36">
        <f>+'tab 16'!E26</f>
        <v>7452.2</v>
      </c>
      <c r="D29" s="74">
        <v>327.02797041994802</v>
      </c>
      <c r="E29" s="74">
        <f t="shared" si="4"/>
        <v>8206.3279704199485</v>
      </c>
      <c r="F29" s="74">
        <v>2791.1570000000002</v>
      </c>
      <c r="G29" s="74">
        <v>273.57759236045695</v>
      </c>
      <c r="H29" s="36">
        <f t="shared" si="1"/>
        <v>4741.9643780594915</v>
      </c>
      <c r="I29" s="74">
        <f t="shared" si="2"/>
        <v>7806.6989704199486</v>
      </c>
      <c r="J29" s="74">
        <v>399.62900000000002</v>
      </c>
      <c r="K29" s="33">
        <v>90.5</v>
      </c>
      <c r="L29" s="36"/>
    </row>
    <row r="30" spans="1:12">
      <c r="A30" s="62" t="s">
        <v>353</v>
      </c>
      <c r="B30" s="74">
        <f t="shared" ref="B30:B35" si="5">+J29</f>
        <v>399.62900000000002</v>
      </c>
      <c r="C30" s="36">
        <f>+'tab 16'!E27</f>
        <v>6183.9</v>
      </c>
      <c r="D30" s="74">
        <v>103.90964624359198</v>
      </c>
      <c r="E30" s="74">
        <f t="shared" ref="E30:E35" si="6">SUM(B30:D30)</f>
        <v>6687.4386462435914</v>
      </c>
      <c r="F30" s="74">
        <v>2494.7009999999996</v>
      </c>
      <c r="G30" s="74">
        <v>369.52324114734</v>
      </c>
      <c r="H30" s="36">
        <f t="shared" si="1"/>
        <v>3476.6504050962517</v>
      </c>
      <c r="I30" s="74">
        <f t="shared" si="2"/>
        <v>6340.8746462435911</v>
      </c>
      <c r="J30" s="74">
        <v>346.56400000000002</v>
      </c>
      <c r="K30" s="33">
        <v>101</v>
      </c>
      <c r="L30" s="36"/>
    </row>
    <row r="31" spans="1:12">
      <c r="A31" s="62" t="s">
        <v>364</v>
      </c>
      <c r="B31" s="74">
        <f t="shared" si="5"/>
        <v>346.56400000000002</v>
      </c>
      <c r="C31" s="36">
        <f>+'tab 16'!E28</f>
        <v>6664.6</v>
      </c>
      <c r="D31" s="74">
        <v>1.5949646506080002</v>
      </c>
      <c r="E31" s="74">
        <f t="shared" si="6"/>
        <v>7012.7589646506085</v>
      </c>
      <c r="F31" s="74">
        <v>2642.68</v>
      </c>
      <c r="G31" s="74">
        <v>354.43291551135297</v>
      </c>
      <c r="H31" s="36">
        <f t="shared" ref="H31:H36" si="7">+I31-F31-G31</f>
        <v>3594.8390491392561</v>
      </c>
      <c r="I31" s="74">
        <f t="shared" si="2"/>
        <v>6591.9519646506087</v>
      </c>
      <c r="J31" s="74">
        <v>420.80700000000002</v>
      </c>
      <c r="K31" s="33">
        <v>117</v>
      </c>
      <c r="L31" s="36"/>
    </row>
    <row r="32" spans="1:12">
      <c r="A32" s="62" t="s">
        <v>366</v>
      </c>
      <c r="B32" s="74">
        <f t="shared" si="5"/>
        <v>420.80700000000002</v>
      </c>
      <c r="C32" s="36">
        <f>+'tab 16'!E29</f>
        <v>8198.1</v>
      </c>
      <c r="D32" s="74">
        <v>1.0722597975179999</v>
      </c>
      <c r="E32" s="74">
        <f t="shared" si="6"/>
        <v>8619.9792597975193</v>
      </c>
      <c r="F32" s="74">
        <v>2922.7440000000001</v>
      </c>
      <c r="G32" s="74">
        <v>378.92510189093707</v>
      </c>
      <c r="H32" s="36">
        <f t="shared" si="7"/>
        <v>4726.1921579065811</v>
      </c>
      <c r="I32" s="74">
        <f t="shared" si="2"/>
        <v>8027.8612597975189</v>
      </c>
      <c r="J32" s="74">
        <v>592.11800000000005</v>
      </c>
      <c r="K32" s="33">
        <v>107</v>
      </c>
      <c r="L32" s="36"/>
    </row>
    <row r="33" spans="1:12">
      <c r="A33" s="62" t="s">
        <v>385</v>
      </c>
      <c r="B33" s="74">
        <f t="shared" si="5"/>
        <v>592.11800000000005</v>
      </c>
      <c r="C33" s="36">
        <f>+'tab 16'!E30</f>
        <v>8172.1</v>
      </c>
      <c r="D33" s="74">
        <v>0.164931078753</v>
      </c>
      <c r="E33" s="74">
        <f t="shared" si="6"/>
        <v>8764.3829310787532</v>
      </c>
      <c r="F33" s="74">
        <v>3009.9070000000002</v>
      </c>
      <c r="G33" s="74">
        <v>522.91839498154206</v>
      </c>
      <c r="H33" s="36">
        <f t="shared" si="7"/>
        <v>4630.0325360972111</v>
      </c>
      <c r="I33" s="74">
        <f t="shared" si="2"/>
        <v>8162.8579310787536</v>
      </c>
      <c r="J33" s="74">
        <v>601.52499999999998</v>
      </c>
      <c r="K33" s="33">
        <v>96</v>
      </c>
      <c r="L33" s="36"/>
    </row>
    <row r="34" spans="1:12">
      <c r="A34" s="62" t="s">
        <v>400</v>
      </c>
      <c r="B34" s="74">
        <f t="shared" si="5"/>
        <v>601.52499999999998</v>
      </c>
      <c r="C34" s="36">
        <f>+'tab 16'!E31</f>
        <v>7347.9</v>
      </c>
      <c r="D34" s="74">
        <v>0.48745845886500005</v>
      </c>
      <c r="E34" s="74">
        <f t="shared" si="6"/>
        <v>7949.9124584588644</v>
      </c>
      <c r="F34" s="74">
        <v>2679.97</v>
      </c>
      <c r="G34" s="74">
        <v>615.80090668767298</v>
      </c>
      <c r="H34" s="36">
        <f t="shared" si="7"/>
        <v>4165.0595517711918</v>
      </c>
      <c r="I34" s="74">
        <f t="shared" si="2"/>
        <v>7460.8304584588641</v>
      </c>
      <c r="J34" s="74">
        <v>489.08199999999999</v>
      </c>
      <c r="K34" s="33">
        <v>111</v>
      </c>
      <c r="L34" s="36"/>
    </row>
    <row r="35" spans="1:12">
      <c r="A35" s="62" t="s">
        <v>404</v>
      </c>
      <c r="B35" s="74">
        <f t="shared" si="5"/>
        <v>489.08199999999999</v>
      </c>
      <c r="C35" s="36">
        <f>+'tab 16'!E32</f>
        <v>6588.7</v>
      </c>
      <c r="D35" s="74">
        <v>2.5775260951230003</v>
      </c>
      <c r="E35" s="74">
        <f t="shared" si="6"/>
        <v>7080.3595260951233</v>
      </c>
      <c r="F35" s="74">
        <v>2705.8790799999997</v>
      </c>
      <c r="G35" s="74">
        <v>599.28577684321499</v>
      </c>
      <c r="H35" s="36">
        <f t="shared" si="7"/>
        <v>3132.1236692519087</v>
      </c>
      <c r="I35" s="74">
        <f t="shared" si="2"/>
        <v>6437.2885260951234</v>
      </c>
      <c r="J35" s="74">
        <v>643.07100000000003</v>
      </c>
      <c r="K35" s="33">
        <v>162</v>
      </c>
      <c r="L35" s="36"/>
    </row>
    <row r="36" spans="1:12">
      <c r="A36" s="62" t="s">
        <v>411</v>
      </c>
      <c r="B36" s="74">
        <f t="shared" ref="B36:B41" si="8">+J35</f>
        <v>643.07100000000003</v>
      </c>
      <c r="C36" s="36">
        <f>+'tab 16'!E33</f>
        <v>4300.3</v>
      </c>
      <c r="D36" s="74">
        <v>0</v>
      </c>
      <c r="E36" s="74">
        <f t="shared" ref="E36:E41" si="9">SUM(B36:D36)</f>
        <v>4943.3710000000001</v>
      </c>
      <c r="F36" s="74">
        <v>2239.8269</v>
      </c>
      <c r="G36" s="74">
        <v>190.12105996260303</v>
      </c>
      <c r="H36" s="36">
        <f t="shared" si="7"/>
        <v>1999.334040037397</v>
      </c>
      <c r="I36" s="74">
        <f t="shared" si="2"/>
        <v>4429.2820000000002</v>
      </c>
      <c r="J36" s="74">
        <v>514.08900000000006</v>
      </c>
      <c r="K36" s="33">
        <v>223</v>
      </c>
      <c r="L36" s="36"/>
    </row>
    <row r="37" spans="1:12">
      <c r="A37" s="115" t="s">
        <v>421</v>
      </c>
      <c r="B37" s="74">
        <f t="shared" si="8"/>
        <v>514.08900000000006</v>
      </c>
      <c r="C37" s="36">
        <f>+'tab 16'!E34</f>
        <v>4148.8</v>
      </c>
      <c r="D37" s="74">
        <v>24.163759431000003</v>
      </c>
      <c r="E37" s="74">
        <f t="shared" si="9"/>
        <v>4687.0527594309997</v>
      </c>
      <c r="F37" s="74">
        <v>1900.6969299999996</v>
      </c>
      <c r="G37" s="74">
        <v>295.32461539266001</v>
      </c>
      <c r="H37" s="36">
        <f t="shared" ref="H37:H44" si="10">+I37-F37-G37</f>
        <v>2149.4302140383406</v>
      </c>
      <c r="I37" s="74">
        <f t="shared" si="2"/>
        <v>4345.451759431</v>
      </c>
      <c r="J37" s="74">
        <v>341.601</v>
      </c>
      <c r="K37" s="33">
        <v>158</v>
      </c>
      <c r="L37" s="36"/>
    </row>
    <row r="38" spans="1:12">
      <c r="A38" s="115" t="s">
        <v>424</v>
      </c>
      <c r="B38" s="74">
        <f t="shared" si="8"/>
        <v>341.601</v>
      </c>
      <c r="C38" s="36">
        <f>+'tab 16'!E35</f>
        <v>6096.1</v>
      </c>
      <c r="D38" s="74">
        <v>0.27101969401500003</v>
      </c>
      <c r="E38" s="74">
        <f t="shared" si="9"/>
        <v>6437.9720196940152</v>
      </c>
      <c r="F38" s="74">
        <v>2562.5510700000004</v>
      </c>
      <c r="G38" s="74">
        <v>275.15730984531302</v>
      </c>
      <c r="H38" s="36">
        <f t="shared" si="10"/>
        <v>2982.7006398487015</v>
      </c>
      <c r="I38" s="74">
        <f t="shared" si="2"/>
        <v>5820.4090196940151</v>
      </c>
      <c r="J38" s="74">
        <v>617.56299999999999</v>
      </c>
      <c r="K38" s="33">
        <v>161</v>
      </c>
      <c r="L38" s="36"/>
    </row>
    <row r="39" spans="1:12">
      <c r="A39" s="115" t="s">
        <v>425</v>
      </c>
      <c r="B39" s="74">
        <f t="shared" si="8"/>
        <v>617.56299999999999</v>
      </c>
      <c r="C39" s="36">
        <f>+'tab 16'!E36</f>
        <v>5370</v>
      </c>
      <c r="D39" s="74">
        <v>95.292104027337018</v>
      </c>
      <c r="E39" s="74">
        <f t="shared" si="9"/>
        <v>6082.8551040273369</v>
      </c>
      <c r="F39" s="74">
        <v>2400</v>
      </c>
      <c r="G39" s="74">
        <v>132.68900780534699</v>
      </c>
      <c r="H39" s="36">
        <f t="shared" si="10"/>
        <v>3120.1660962219898</v>
      </c>
      <c r="I39" s="74">
        <f t="shared" si="2"/>
        <v>5652.8551040273369</v>
      </c>
      <c r="J39" s="74">
        <v>430</v>
      </c>
      <c r="K39" s="33">
        <v>260</v>
      </c>
      <c r="L39" s="36"/>
    </row>
    <row r="40" spans="1:12">
      <c r="A40" s="115" t="s">
        <v>438</v>
      </c>
      <c r="B40" s="74">
        <f t="shared" si="8"/>
        <v>430</v>
      </c>
      <c r="C40" s="36">
        <f>+'tab 16'!E37</f>
        <v>5666</v>
      </c>
      <c r="D40" s="74">
        <v>91.503199872630006</v>
      </c>
      <c r="E40" s="74">
        <f t="shared" si="9"/>
        <v>6187.5031998726299</v>
      </c>
      <c r="F40" s="74">
        <v>2500</v>
      </c>
      <c r="G40" s="74">
        <v>191.37798110346301</v>
      </c>
      <c r="H40" s="36">
        <f t="shared" si="10"/>
        <v>3004.1252187691671</v>
      </c>
      <c r="I40" s="74">
        <f t="shared" si="2"/>
        <v>5695.5031998726299</v>
      </c>
      <c r="J40" s="74">
        <v>492</v>
      </c>
      <c r="K40" s="33">
        <v>252</v>
      </c>
      <c r="L40" s="36"/>
    </row>
    <row r="41" spans="1:12">
      <c r="A41" s="115" t="s">
        <v>464</v>
      </c>
      <c r="B41" s="74">
        <f t="shared" si="8"/>
        <v>492</v>
      </c>
      <c r="C41" s="36">
        <f>+'tab 16'!E38</f>
        <v>4203</v>
      </c>
      <c r="D41" s="74">
        <v>90.59926516943402</v>
      </c>
      <c r="E41" s="74">
        <f t="shared" si="9"/>
        <v>4785.5992651694341</v>
      </c>
      <c r="F41" s="74">
        <v>2000</v>
      </c>
      <c r="G41" s="74">
        <v>218.92546272334502</v>
      </c>
      <c r="H41" s="36">
        <f t="shared" si="10"/>
        <v>2141.6738024460892</v>
      </c>
      <c r="I41" s="74">
        <f t="shared" si="2"/>
        <v>4360.5992651694341</v>
      </c>
      <c r="J41" s="74">
        <v>425</v>
      </c>
      <c r="K41" s="33">
        <v>246</v>
      </c>
      <c r="L41" s="36"/>
    </row>
    <row r="42" spans="1:12">
      <c r="A42" s="115" t="s">
        <v>492</v>
      </c>
      <c r="B42" s="74">
        <f>+J41</f>
        <v>425</v>
      </c>
      <c r="C42" s="36">
        <f>+'tab 16'!E39</f>
        <v>5125</v>
      </c>
      <c r="D42" s="200">
        <v>59.993883548361005</v>
      </c>
      <c r="E42" s="74">
        <f>SUM(B42:D42)</f>
        <v>5609.9938835483608</v>
      </c>
      <c r="F42" s="200">
        <v>1900</v>
      </c>
      <c r="G42" s="200">
        <v>228.13998571249201</v>
      </c>
      <c r="H42" s="36">
        <f t="shared" si="10"/>
        <v>3044.8538978358688</v>
      </c>
      <c r="I42" s="74">
        <f t="shared" si="2"/>
        <v>5172.9938835483608</v>
      </c>
      <c r="J42" s="200">
        <v>437</v>
      </c>
      <c r="K42" s="214">
        <v>194</v>
      </c>
      <c r="L42" s="36"/>
    </row>
    <row r="43" spans="1:12">
      <c r="A43" s="115" t="s">
        <v>505</v>
      </c>
      <c r="B43" s="74">
        <f>+J42</f>
        <v>437</v>
      </c>
      <c r="C43" s="36">
        <f>+'tab 16'!E40</f>
        <v>4043</v>
      </c>
      <c r="D43" s="200">
        <v>16.371572575995003</v>
      </c>
      <c r="E43" s="74">
        <f>SUM(B43:D43)</f>
        <v>4496.3715725759948</v>
      </c>
      <c r="F43" s="200">
        <v>1500</v>
      </c>
      <c r="G43" s="200">
        <v>136.11302056359</v>
      </c>
      <c r="H43" s="36">
        <f t="shared" si="10"/>
        <v>2469.2585520124048</v>
      </c>
      <c r="I43" s="74">
        <f t="shared" si="2"/>
        <v>4105.3715725759948</v>
      </c>
      <c r="J43" s="200">
        <v>391</v>
      </c>
      <c r="K43" s="214">
        <v>227</v>
      </c>
      <c r="L43" s="36"/>
    </row>
    <row r="44" spans="1:12">
      <c r="A44" s="115" t="s">
        <v>575</v>
      </c>
      <c r="B44" s="74">
        <f>+J43</f>
        <v>391</v>
      </c>
      <c r="C44" s="36">
        <f>+'tab 16'!E41</f>
        <v>5369</v>
      </c>
      <c r="D44" s="200">
        <v>51.079130728731002</v>
      </c>
      <c r="E44" s="74">
        <f>SUM(B44:D44)</f>
        <v>5811.0791307287309</v>
      </c>
      <c r="F44" s="200">
        <v>1769.4399999999998</v>
      </c>
      <c r="G44" s="200">
        <v>341.65464751467005</v>
      </c>
      <c r="H44" s="36">
        <f t="shared" si="10"/>
        <v>3299.9844832140611</v>
      </c>
      <c r="I44" s="74">
        <f t="shared" si="2"/>
        <v>5411.0791307287309</v>
      </c>
      <c r="J44" s="200">
        <v>400</v>
      </c>
      <c r="K44" s="214">
        <v>195</v>
      </c>
      <c r="L44" s="36"/>
    </row>
    <row r="45" spans="1:12">
      <c r="A45" s="129" t="s">
        <v>681</v>
      </c>
      <c r="B45" s="74">
        <f>+J44</f>
        <v>400</v>
      </c>
      <c r="C45" s="74">
        <f>+'tab 16'!E42</f>
        <v>6422</v>
      </c>
      <c r="D45" s="200">
        <v>0</v>
      </c>
      <c r="E45" s="74">
        <f>SUM(B45:D45)</f>
        <v>6822</v>
      </c>
      <c r="F45" s="200">
        <v>1854</v>
      </c>
      <c r="G45" s="200">
        <v>478</v>
      </c>
      <c r="H45" s="74">
        <f>+I45-F45-G45</f>
        <v>4040</v>
      </c>
      <c r="I45" s="74">
        <f t="shared" si="2"/>
        <v>6372</v>
      </c>
      <c r="J45" s="200">
        <v>450</v>
      </c>
      <c r="K45" s="214">
        <v>142</v>
      </c>
      <c r="L45" s="36"/>
    </row>
    <row r="46" spans="1:12">
      <c r="A46" s="136" t="s">
        <v>630</v>
      </c>
      <c r="B46" s="37">
        <f>+J45</f>
        <v>450</v>
      </c>
      <c r="C46" s="37">
        <f>+'tab 16'!E43</f>
        <v>5794</v>
      </c>
      <c r="D46" s="199">
        <v>0</v>
      </c>
      <c r="E46" s="37">
        <f>SUM(B46:D46)</f>
        <v>6244</v>
      </c>
      <c r="F46" s="199">
        <v>1900</v>
      </c>
      <c r="G46" s="199">
        <v>425</v>
      </c>
      <c r="H46" s="37">
        <f>+I46-F46-G46</f>
        <v>3599</v>
      </c>
      <c r="I46" s="37">
        <f t="shared" si="2"/>
        <v>5924</v>
      </c>
      <c r="J46" s="199">
        <v>320</v>
      </c>
      <c r="K46" s="314" t="s">
        <v>661</v>
      </c>
      <c r="L46" s="36"/>
    </row>
    <row r="47" spans="1:12" ht="12" customHeight="1">
      <c r="A47" s="107" t="s">
        <v>369</v>
      </c>
    </row>
    <row r="48" spans="1:12" ht="12" customHeight="1">
      <c r="A48" s="107" t="s">
        <v>531</v>
      </c>
    </row>
    <row r="49" spans="1:11">
      <c r="A49" s="107" t="s">
        <v>532</v>
      </c>
    </row>
    <row r="50" spans="1:11">
      <c r="J50" s="269"/>
      <c r="K50" s="269" t="s">
        <v>679</v>
      </c>
    </row>
  </sheetData>
  <phoneticPr fontId="0" type="noConversion"/>
  <pageMargins left="0.7" right="0.7" top="0.75" bottom="0.75" header="0.3" footer="0.3"/>
  <pageSetup scale="81" firstPageNumber="45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50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2.7109375" customWidth="1"/>
    <col min="2" max="10" width="11.7109375" customWidth="1"/>
  </cols>
  <sheetData>
    <row r="1" spans="1:11">
      <c r="A1" s="136" t="s">
        <v>633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t="s">
        <v>107</v>
      </c>
      <c r="B2" s="383"/>
      <c r="C2" s="296" t="s">
        <v>119</v>
      </c>
      <c r="D2" s="279"/>
      <c r="E2" s="382"/>
      <c r="F2" s="3"/>
      <c r="G2" s="271" t="s">
        <v>117</v>
      </c>
      <c r="H2" s="382"/>
      <c r="J2" s="4" t="s">
        <v>118</v>
      </c>
    </row>
    <row r="3" spans="1:11">
      <c r="A3" t="s">
        <v>100</v>
      </c>
      <c r="B3" s="364" t="s">
        <v>141</v>
      </c>
      <c r="C3" s="7" t="s">
        <v>66</v>
      </c>
      <c r="D3" s="173" t="s">
        <v>88</v>
      </c>
      <c r="E3" s="378" t="s">
        <v>3</v>
      </c>
      <c r="F3" s="7" t="s">
        <v>142</v>
      </c>
      <c r="G3" s="7" t="s">
        <v>90</v>
      </c>
      <c r="H3" s="378" t="s">
        <v>3</v>
      </c>
      <c r="I3" s="7" t="s">
        <v>143</v>
      </c>
      <c r="J3" s="7" t="s">
        <v>250</v>
      </c>
    </row>
    <row r="4" spans="1:11">
      <c r="A4" t="s">
        <v>140</v>
      </c>
      <c r="B4" s="364" t="s">
        <v>110</v>
      </c>
      <c r="C4" s="7"/>
      <c r="D4" s="7"/>
      <c r="E4" s="367"/>
      <c r="H4" s="389"/>
      <c r="I4" s="7" t="s">
        <v>110</v>
      </c>
      <c r="J4" s="7" t="s">
        <v>251</v>
      </c>
    </row>
    <row r="5" spans="1:11">
      <c r="A5" s="1"/>
      <c r="B5" s="365"/>
      <c r="C5" s="1"/>
      <c r="D5" s="1"/>
      <c r="E5" s="368"/>
      <c r="F5" s="1"/>
      <c r="G5" s="1"/>
      <c r="H5" s="368"/>
      <c r="I5" s="1"/>
      <c r="J5" s="9" t="s">
        <v>183</v>
      </c>
    </row>
    <row r="6" spans="1:11">
      <c r="C6" s="272"/>
      <c r="D6" s="272"/>
      <c r="E6" s="272"/>
      <c r="F6" s="290" t="s">
        <v>355</v>
      </c>
      <c r="G6" s="272"/>
      <c r="H6" s="272"/>
      <c r="I6" s="272"/>
      <c r="J6" s="7" t="s">
        <v>287</v>
      </c>
    </row>
    <row r="7" spans="1:11">
      <c r="B7" s="156"/>
      <c r="C7" s="156"/>
      <c r="D7" s="156"/>
      <c r="E7" s="156"/>
      <c r="F7" s="156"/>
      <c r="G7" s="156"/>
      <c r="H7" s="156"/>
      <c r="I7" s="156"/>
      <c r="J7" s="7"/>
    </row>
    <row r="8" spans="1:11">
      <c r="A8" s="10" t="s">
        <v>273</v>
      </c>
      <c r="B8" s="36">
        <v>52.5</v>
      </c>
      <c r="C8" s="36">
        <v>1785.8</v>
      </c>
      <c r="D8" s="36">
        <v>0</v>
      </c>
      <c r="E8" s="36">
        <f t="shared" ref="E8:E27" si="0">SUM(B8:D8)</f>
        <v>1838.3</v>
      </c>
      <c r="F8" s="36">
        <f t="shared" ref="F8:F29" si="1">+H8-G8</f>
        <v>1631.3999999999999</v>
      </c>
      <c r="G8" s="36">
        <v>98.9</v>
      </c>
      <c r="H8" s="36">
        <f t="shared" ref="H8:H46" si="2">+E8-I8</f>
        <v>1730.3</v>
      </c>
      <c r="I8" s="36">
        <v>108</v>
      </c>
      <c r="J8" s="33">
        <v>197.0625</v>
      </c>
      <c r="K8" s="133"/>
    </row>
    <row r="9" spans="1:11">
      <c r="A9" s="10" t="s">
        <v>274</v>
      </c>
      <c r="B9" s="36">
        <f t="shared" ref="B9:B27" si="3">+I8</f>
        <v>108</v>
      </c>
      <c r="C9" s="36">
        <v>2189.8000000000002</v>
      </c>
      <c r="D9" s="36">
        <v>0.2</v>
      </c>
      <c r="E9" s="36">
        <f t="shared" si="0"/>
        <v>2298</v>
      </c>
      <c r="F9" s="36">
        <f t="shared" si="1"/>
        <v>2036.8</v>
      </c>
      <c r="G9" s="36">
        <v>107.2</v>
      </c>
      <c r="H9" s="36">
        <f t="shared" si="2"/>
        <v>2144</v>
      </c>
      <c r="I9" s="36">
        <v>154</v>
      </c>
      <c r="J9" s="33">
        <v>156.15</v>
      </c>
      <c r="K9" s="133"/>
    </row>
    <row r="10" spans="1:11">
      <c r="A10" s="10" t="s">
        <v>275</v>
      </c>
      <c r="B10" s="36">
        <f t="shared" si="3"/>
        <v>154</v>
      </c>
      <c r="C10" s="36">
        <v>1588.3</v>
      </c>
      <c r="D10" s="36">
        <v>0</v>
      </c>
      <c r="E10" s="36">
        <f t="shared" si="0"/>
        <v>1742.3</v>
      </c>
      <c r="F10" s="36">
        <f t="shared" si="1"/>
        <v>1647.8999999999999</v>
      </c>
      <c r="G10" s="36">
        <v>1.4</v>
      </c>
      <c r="H10" s="36">
        <f t="shared" si="2"/>
        <v>1649.3</v>
      </c>
      <c r="I10" s="36">
        <v>93</v>
      </c>
      <c r="J10" s="33">
        <v>176.5625</v>
      </c>
      <c r="K10" s="133"/>
    </row>
    <row r="11" spans="1:11">
      <c r="A11" s="10" t="s">
        <v>276</v>
      </c>
      <c r="B11" s="36">
        <f t="shared" si="3"/>
        <v>93</v>
      </c>
      <c r="C11" s="36">
        <v>1133.7</v>
      </c>
      <c r="D11" s="36">
        <v>0</v>
      </c>
      <c r="E11" s="36">
        <f t="shared" si="0"/>
        <v>1226.7</v>
      </c>
      <c r="F11" s="36">
        <f t="shared" si="1"/>
        <v>1125.8000000000002</v>
      </c>
      <c r="G11" s="36">
        <v>1.1000000000000001</v>
      </c>
      <c r="H11" s="36">
        <f t="shared" si="2"/>
        <v>1126.9000000000001</v>
      </c>
      <c r="I11" s="36">
        <v>99.8</v>
      </c>
      <c r="J11" s="33">
        <v>190.21666666666667</v>
      </c>
      <c r="K11" s="133"/>
    </row>
    <row r="12" spans="1:11">
      <c r="A12" s="10" t="s">
        <v>277</v>
      </c>
      <c r="B12" s="36">
        <f t="shared" si="3"/>
        <v>99.8</v>
      </c>
      <c r="C12" s="36">
        <v>1731.8</v>
      </c>
      <c r="D12" s="36">
        <v>0</v>
      </c>
      <c r="E12" s="36">
        <f t="shared" si="0"/>
        <v>1831.6</v>
      </c>
      <c r="F12" s="36">
        <f t="shared" si="1"/>
        <v>1757.6999999999998</v>
      </c>
      <c r="G12" s="36">
        <v>5.7</v>
      </c>
      <c r="H12" s="36">
        <f t="shared" si="2"/>
        <v>1763.3999999999999</v>
      </c>
      <c r="I12" s="36">
        <v>68.2</v>
      </c>
      <c r="J12" s="33">
        <v>99.354166666666671</v>
      </c>
      <c r="K12" s="133"/>
    </row>
    <row r="13" spans="1:11">
      <c r="A13" s="10" t="s">
        <v>278</v>
      </c>
      <c r="B13" s="36">
        <f t="shared" si="3"/>
        <v>68.2</v>
      </c>
      <c r="C13" s="36">
        <v>1526.3</v>
      </c>
      <c r="D13" s="36">
        <v>0</v>
      </c>
      <c r="E13" s="36">
        <f t="shared" si="0"/>
        <v>1594.5</v>
      </c>
      <c r="F13" s="36">
        <f t="shared" si="1"/>
        <v>1521.2</v>
      </c>
      <c r="G13" s="36">
        <v>4.7</v>
      </c>
      <c r="H13" s="36">
        <f t="shared" si="2"/>
        <v>1525.9</v>
      </c>
      <c r="I13" s="36">
        <v>68.599999999999994</v>
      </c>
      <c r="J13" s="33">
        <v>133.27250000000001</v>
      </c>
      <c r="K13" s="133"/>
    </row>
    <row r="14" spans="1:11">
      <c r="A14" s="10" t="s">
        <v>279</v>
      </c>
      <c r="B14" s="36">
        <f t="shared" si="3"/>
        <v>68.599999999999994</v>
      </c>
      <c r="C14" s="36">
        <v>1111.5</v>
      </c>
      <c r="D14" s="36">
        <v>0</v>
      </c>
      <c r="E14" s="36">
        <f t="shared" si="0"/>
        <v>1180.0999999999999</v>
      </c>
      <c r="F14" s="36">
        <f t="shared" si="1"/>
        <v>1130.8999999999999</v>
      </c>
      <c r="G14" s="36">
        <v>17.7</v>
      </c>
      <c r="H14" s="36">
        <f t="shared" si="2"/>
        <v>1148.5999999999999</v>
      </c>
      <c r="I14" s="36">
        <v>31.5</v>
      </c>
      <c r="J14" s="33">
        <v>148.52500000000001</v>
      </c>
      <c r="K14" s="133"/>
    </row>
    <row r="15" spans="1:11">
      <c r="A15" s="10" t="s">
        <v>280</v>
      </c>
      <c r="B15" s="36">
        <f t="shared" si="3"/>
        <v>31.5</v>
      </c>
      <c r="C15" s="36">
        <v>1647.3</v>
      </c>
      <c r="D15" s="36">
        <v>0</v>
      </c>
      <c r="E15" s="36">
        <f t="shared" si="0"/>
        <v>1678.8</v>
      </c>
      <c r="F15" s="36">
        <f t="shared" si="1"/>
        <v>1589.8</v>
      </c>
      <c r="G15" s="36">
        <v>44.9</v>
      </c>
      <c r="H15" s="36">
        <f t="shared" si="2"/>
        <v>1634.7</v>
      </c>
      <c r="I15" s="36">
        <v>44.1</v>
      </c>
      <c r="J15" s="33">
        <v>178.49583333333331</v>
      </c>
      <c r="K15" s="133"/>
    </row>
    <row r="16" spans="1:11">
      <c r="A16" s="10" t="s">
        <v>281</v>
      </c>
      <c r="B16" s="36">
        <f t="shared" si="3"/>
        <v>44.1</v>
      </c>
      <c r="C16" s="36">
        <v>1688.9</v>
      </c>
      <c r="D16" s="36">
        <v>3.1</v>
      </c>
      <c r="E16" s="36">
        <f t="shared" si="0"/>
        <v>1736.1</v>
      </c>
      <c r="F16" s="36">
        <f t="shared" si="1"/>
        <v>1633.6999999999998</v>
      </c>
      <c r="G16" s="36">
        <v>21.5</v>
      </c>
      <c r="H16" s="36">
        <f t="shared" si="2"/>
        <v>1655.1999999999998</v>
      </c>
      <c r="I16" s="36">
        <v>80.900000000000006</v>
      </c>
      <c r="J16" s="33">
        <v>186.80000000000004</v>
      </c>
      <c r="K16" s="133"/>
    </row>
    <row r="17" spans="1:11">
      <c r="A17" s="10" t="s">
        <v>9</v>
      </c>
      <c r="B17" s="36">
        <f t="shared" si="3"/>
        <v>80.900000000000006</v>
      </c>
      <c r="C17" s="36">
        <v>1327.1</v>
      </c>
      <c r="D17" s="36">
        <v>22.414154877135001</v>
      </c>
      <c r="E17" s="36">
        <f t="shared" si="0"/>
        <v>1430.4141548771349</v>
      </c>
      <c r="F17" s="36">
        <f t="shared" si="1"/>
        <v>1366.2940585709198</v>
      </c>
      <c r="G17" s="36">
        <v>16.420096306215004</v>
      </c>
      <c r="H17" s="36">
        <f t="shared" si="2"/>
        <v>1382.7141548771349</v>
      </c>
      <c r="I17" s="36">
        <v>47.7</v>
      </c>
      <c r="J17" s="33">
        <v>163.32083333333333</v>
      </c>
      <c r="K17" s="133"/>
    </row>
    <row r="18" spans="1:11">
      <c r="A18" s="10" t="s">
        <v>10</v>
      </c>
      <c r="B18" s="36">
        <f t="shared" si="3"/>
        <v>47.7</v>
      </c>
      <c r="C18" s="36">
        <v>1695.6</v>
      </c>
      <c r="D18" s="36">
        <v>7.4732441902650004</v>
      </c>
      <c r="E18" s="36">
        <f t="shared" si="0"/>
        <v>1750.7732441902649</v>
      </c>
      <c r="F18" s="36">
        <f t="shared" si="1"/>
        <v>1625.2086872023369</v>
      </c>
      <c r="G18" s="36">
        <v>31.864556987928005</v>
      </c>
      <c r="H18" s="36">
        <f t="shared" si="2"/>
        <v>1657.0732441902649</v>
      </c>
      <c r="I18" s="36">
        <v>93.7</v>
      </c>
      <c r="J18" s="33">
        <v>130.99166666666667</v>
      </c>
      <c r="K18" s="133"/>
    </row>
    <row r="19" spans="1:11">
      <c r="A19" s="10" t="s">
        <v>11</v>
      </c>
      <c r="B19" s="36">
        <f t="shared" si="3"/>
        <v>93.7</v>
      </c>
      <c r="C19" s="36">
        <v>1765.3</v>
      </c>
      <c r="D19" s="36">
        <v>1.8739970432820001</v>
      </c>
      <c r="E19" s="36">
        <f t="shared" si="0"/>
        <v>1860.8739970432821</v>
      </c>
      <c r="F19" s="36">
        <f t="shared" si="1"/>
        <v>1746.0239523480641</v>
      </c>
      <c r="G19" s="36">
        <v>72.150044695218014</v>
      </c>
      <c r="H19" s="36">
        <f t="shared" si="2"/>
        <v>1818.173997043282</v>
      </c>
      <c r="I19" s="36">
        <v>42.7</v>
      </c>
      <c r="J19" s="33">
        <v>140.49166666666667</v>
      </c>
      <c r="K19" s="133"/>
    </row>
    <row r="20" spans="1:11">
      <c r="A20" s="10" t="s">
        <v>12</v>
      </c>
      <c r="B20" s="36">
        <f t="shared" si="3"/>
        <v>42.7</v>
      </c>
      <c r="C20" s="36">
        <v>1532.8</v>
      </c>
      <c r="D20" s="36">
        <v>0</v>
      </c>
      <c r="E20" s="36">
        <f t="shared" si="0"/>
        <v>1575.5</v>
      </c>
      <c r="F20" s="36">
        <f t="shared" si="1"/>
        <v>1418.2881815432888</v>
      </c>
      <c r="G20" s="36">
        <v>128.01181845671101</v>
      </c>
      <c r="H20" s="36">
        <f t="shared" si="2"/>
        <v>1546.3</v>
      </c>
      <c r="I20" s="36">
        <v>29.2</v>
      </c>
      <c r="J20" s="33">
        <v>161.77916666666664</v>
      </c>
      <c r="K20" s="133"/>
    </row>
    <row r="21" spans="1:11">
      <c r="A21" s="10" t="s">
        <v>13</v>
      </c>
      <c r="B21" s="36">
        <f t="shared" si="3"/>
        <v>29.2</v>
      </c>
      <c r="C21" s="36">
        <v>1562.5</v>
      </c>
      <c r="D21" s="36">
        <v>0</v>
      </c>
      <c r="E21" s="36">
        <f t="shared" si="0"/>
        <v>1591.7</v>
      </c>
      <c r="F21" s="36">
        <f t="shared" si="1"/>
        <v>1418.9</v>
      </c>
      <c r="G21" s="36">
        <v>119.6</v>
      </c>
      <c r="H21" s="36">
        <f t="shared" si="2"/>
        <v>1538.5</v>
      </c>
      <c r="I21" s="36">
        <v>53.2</v>
      </c>
      <c r="J21" s="33">
        <v>164.29999999999998</v>
      </c>
      <c r="K21" s="133"/>
    </row>
    <row r="22" spans="1:11">
      <c r="A22" s="10" t="s">
        <v>14</v>
      </c>
      <c r="B22" s="36">
        <f t="shared" si="3"/>
        <v>53.2</v>
      </c>
      <c r="C22" s="36">
        <v>1829.7</v>
      </c>
      <c r="D22" s="36">
        <v>0</v>
      </c>
      <c r="E22" s="36">
        <f t="shared" si="0"/>
        <v>1882.9</v>
      </c>
      <c r="F22" s="36">
        <f t="shared" si="1"/>
        <v>1748.2000000000003</v>
      </c>
      <c r="G22" s="36">
        <v>88.1</v>
      </c>
      <c r="H22" s="36">
        <f t="shared" si="2"/>
        <v>1836.3000000000002</v>
      </c>
      <c r="I22" s="36">
        <v>46.6</v>
      </c>
      <c r="J22" s="33">
        <v>112.02083333333333</v>
      </c>
      <c r="K22" s="133"/>
    </row>
    <row r="23" spans="1:11">
      <c r="A23" s="10" t="s">
        <v>15</v>
      </c>
      <c r="B23" s="36">
        <f t="shared" si="3"/>
        <v>46.6</v>
      </c>
      <c r="C23" s="36">
        <v>1748.1</v>
      </c>
      <c r="D23" s="36">
        <v>0.28106395184699995</v>
      </c>
      <c r="E23" s="36">
        <f t="shared" si="0"/>
        <v>1794.9810639518469</v>
      </c>
      <c r="F23" s="36">
        <f t="shared" si="1"/>
        <v>1632.4810639518469</v>
      </c>
      <c r="G23" s="36">
        <v>111.3</v>
      </c>
      <c r="H23" s="36">
        <f t="shared" si="2"/>
        <v>1743.7810639518468</v>
      </c>
      <c r="I23" s="36">
        <v>51.2</v>
      </c>
      <c r="J23" s="33">
        <v>191.87166666666667</v>
      </c>
      <c r="K23" s="133"/>
    </row>
    <row r="24" spans="1:11">
      <c r="A24" s="10" t="s">
        <v>16</v>
      </c>
      <c r="B24" s="36">
        <f t="shared" si="3"/>
        <v>51.2</v>
      </c>
      <c r="C24" s="36">
        <v>1752</v>
      </c>
      <c r="D24" s="36">
        <v>3.7450586323709998</v>
      </c>
      <c r="E24" s="36">
        <f t="shared" si="0"/>
        <v>1806.945058632371</v>
      </c>
      <c r="F24" s="36">
        <f t="shared" si="1"/>
        <v>1648.945058632371</v>
      </c>
      <c r="G24" s="36">
        <v>132</v>
      </c>
      <c r="H24" s="36">
        <f t="shared" si="2"/>
        <v>1780.945058632371</v>
      </c>
      <c r="I24" s="36">
        <v>26</v>
      </c>
      <c r="J24" s="33">
        <v>191.37916666666663</v>
      </c>
      <c r="K24" s="133"/>
    </row>
    <row r="25" spans="1:11">
      <c r="A25" s="10" t="s">
        <v>17</v>
      </c>
      <c r="B25" s="36">
        <f t="shared" si="3"/>
        <v>26</v>
      </c>
      <c r="C25" s="36">
        <v>1769.0719999999999</v>
      </c>
      <c r="D25" s="36">
        <v>0.13170081134700001</v>
      </c>
      <c r="E25" s="36">
        <f t="shared" si="0"/>
        <v>1795.2037008113468</v>
      </c>
      <c r="F25" s="36">
        <f t="shared" si="1"/>
        <v>1598.3966774891219</v>
      </c>
      <c r="G25" s="36">
        <v>108.90202332222501</v>
      </c>
      <c r="H25" s="36">
        <f t="shared" si="2"/>
        <v>1707.2987008113469</v>
      </c>
      <c r="I25" s="36">
        <v>87.905000000000001</v>
      </c>
      <c r="J25" s="33">
        <v>144.02916666666667</v>
      </c>
      <c r="K25" s="133"/>
    </row>
    <row r="26" spans="1:11">
      <c r="A26" s="10" t="s">
        <v>18</v>
      </c>
      <c r="B26" s="36">
        <f t="shared" si="3"/>
        <v>87.905000000000001</v>
      </c>
      <c r="C26" s="36">
        <v>1231.6080000000002</v>
      </c>
      <c r="D26" s="36">
        <v>26.808203520000003</v>
      </c>
      <c r="E26" s="36">
        <f t="shared" si="0"/>
        <v>1346.3212035200002</v>
      </c>
      <c r="F26" s="36">
        <f t="shared" si="1"/>
        <v>1201.3671907086223</v>
      </c>
      <c r="G26" s="36">
        <v>120.87501281137801</v>
      </c>
      <c r="H26" s="36">
        <f t="shared" si="2"/>
        <v>1322.2422035200002</v>
      </c>
      <c r="I26" s="36">
        <v>24.079000000000001</v>
      </c>
      <c r="J26" s="33">
        <v>109.55000000000001</v>
      </c>
      <c r="K26" s="133"/>
    </row>
    <row r="27" spans="1:11">
      <c r="A27" s="10" t="s">
        <v>19</v>
      </c>
      <c r="B27" s="36">
        <f t="shared" si="3"/>
        <v>24.079000000000001</v>
      </c>
      <c r="C27" s="36">
        <v>1389.8070000000002</v>
      </c>
      <c r="D27" s="36">
        <v>9.5746733459999997E-2</v>
      </c>
      <c r="E27" s="36">
        <f t="shared" si="0"/>
        <v>1413.9817467334601</v>
      </c>
      <c r="F27" s="36">
        <f t="shared" si="1"/>
        <v>1288.4916140034081</v>
      </c>
      <c r="G27" s="36">
        <v>104.69213273005201</v>
      </c>
      <c r="H27" s="36">
        <f t="shared" si="2"/>
        <v>1393.1837467334601</v>
      </c>
      <c r="I27" s="36">
        <v>20.797999999999998</v>
      </c>
      <c r="J27" s="33">
        <v>127.42916666666667</v>
      </c>
      <c r="K27" s="133"/>
    </row>
    <row r="28" spans="1:11">
      <c r="A28" s="62" t="s">
        <v>337</v>
      </c>
      <c r="B28" s="74">
        <f t="shared" ref="B28:B33" si="4">+I27</f>
        <v>20.797999999999998</v>
      </c>
      <c r="C28" s="74">
        <v>1337.6</v>
      </c>
      <c r="D28" s="74">
        <v>0.42176843944200004</v>
      </c>
      <c r="E28" s="74">
        <f t="shared" ref="E28:E33" si="5">SUM(B28:D28)</f>
        <v>1358.819768439442</v>
      </c>
      <c r="F28" s="74">
        <f t="shared" si="1"/>
        <v>1165.379817236902</v>
      </c>
      <c r="G28" s="74">
        <v>153.53995120254001</v>
      </c>
      <c r="H28" s="74">
        <f t="shared" si="2"/>
        <v>1318.9197684394419</v>
      </c>
      <c r="I28" s="74">
        <v>39.9</v>
      </c>
      <c r="J28" s="33">
        <v>142.93000000000004</v>
      </c>
      <c r="K28" s="133"/>
    </row>
    <row r="29" spans="1:11">
      <c r="A29" s="62" t="s">
        <v>341</v>
      </c>
      <c r="B29" s="74">
        <f t="shared" si="4"/>
        <v>39.9</v>
      </c>
      <c r="C29" s="74">
        <v>1293.9359999999999</v>
      </c>
      <c r="D29" s="74">
        <v>0.195911529408</v>
      </c>
      <c r="E29" s="74">
        <f t="shared" si="5"/>
        <v>1334.031911529408</v>
      </c>
      <c r="F29" s="74">
        <f t="shared" si="1"/>
        <v>1160.5539013805749</v>
      </c>
      <c r="G29" s="74">
        <v>111.050010148833</v>
      </c>
      <c r="H29" s="74">
        <f t="shared" si="2"/>
        <v>1271.6039115294079</v>
      </c>
      <c r="I29" s="74">
        <v>62.427999999999997</v>
      </c>
      <c r="J29" s="33">
        <v>136.15583333333333</v>
      </c>
      <c r="K29" s="133"/>
    </row>
    <row r="30" spans="1:11">
      <c r="A30" s="62" t="s">
        <v>353</v>
      </c>
      <c r="B30" s="74">
        <f t="shared" si="4"/>
        <v>62.427999999999997</v>
      </c>
      <c r="C30" s="74">
        <v>1115.0350000000001</v>
      </c>
      <c r="D30" s="74">
        <v>0</v>
      </c>
      <c r="E30" s="74">
        <f t="shared" si="5"/>
        <v>1177.4630000000002</v>
      </c>
      <c r="F30" s="74">
        <f t="shared" ref="F30:F35" si="6">+H30-G30</f>
        <v>1091.0850757511121</v>
      </c>
      <c r="G30" s="74">
        <v>50.977924248887994</v>
      </c>
      <c r="H30" s="74">
        <f t="shared" si="2"/>
        <v>1142.0630000000001</v>
      </c>
      <c r="I30" s="74">
        <v>35.4</v>
      </c>
      <c r="J30" s="33">
        <v>147.10416666666666</v>
      </c>
      <c r="K30" s="133"/>
    </row>
    <row r="31" spans="1:11">
      <c r="A31" s="62" t="s">
        <v>364</v>
      </c>
      <c r="B31" s="74">
        <f t="shared" si="4"/>
        <v>35.4</v>
      </c>
      <c r="C31" s="74">
        <v>1243.575</v>
      </c>
      <c r="D31" s="74">
        <v>3.2661474929999997E-2</v>
      </c>
      <c r="E31" s="74">
        <f t="shared" si="5"/>
        <v>1279.00766147493</v>
      </c>
      <c r="F31" s="74">
        <f t="shared" si="6"/>
        <v>1131.949199408584</v>
      </c>
      <c r="G31" s="74">
        <v>70.406462066346009</v>
      </c>
      <c r="H31" s="74">
        <f t="shared" si="2"/>
        <v>1202.35566147493</v>
      </c>
      <c r="I31" s="74">
        <v>76.652000000000001</v>
      </c>
      <c r="J31" s="33">
        <v>183.46916666666667</v>
      </c>
      <c r="K31" s="133"/>
    </row>
    <row r="32" spans="1:11">
      <c r="A32" s="62" t="s">
        <v>366</v>
      </c>
      <c r="B32" s="74">
        <f t="shared" si="4"/>
        <v>76.652000000000001</v>
      </c>
      <c r="C32" s="74">
        <v>1362.421</v>
      </c>
      <c r="D32" s="74">
        <v>0</v>
      </c>
      <c r="E32" s="74">
        <f t="shared" si="5"/>
        <v>1439.0730000000001</v>
      </c>
      <c r="F32" s="74">
        <f t="shared" si="6"/>
        <v>1279.1196195191671</v>
      </c>
      <c r="G32" s="74">
        <v>107.315380480833</v>
      </c>
      <c r="H32" s="74">
        <f t="shared" si="2"/>
        <v>1386.4350000000002</v>
      </c>
      <c r="I32" s="74">
        <v>52.637999999999998</v>
      </c>
      <c r="J32" s="33">
        <v>124.03749999999998</v>
      </c>
      <c r="K32" s="133"/>
    </row>
    <row r="33" spans="1:11">
      <c r="A33" s="62" t="s">
        <v>385</v>
      </c>
      <c r="B33" s="74">
        <f t="shared" si="4"/>
        <v>52.637999999999998</v>
      </c>
      <c r="C33" s="74">
        <v>1372.3869999999999</v>
      </c>
      <c r="D33" s="74">
        <v>0</v>
      </c>
      <c r="E33" s="74">
        <f t="shared" si="5"/>
        <v>1425.0249999999999</v>
      </c>
      <c r="F33" s="74">
        <f t="shared" si="6"/>
        <v>1225.055348701002</v>
      </c>
      <c r="G33" s="74">
        <v>140.65865129899802</v>
      </c>
      <c r="H33" s="74">
        <f t="shared" si="2"/>
        <v>1365.7139999999999</v>
      </c>
      <c r="I33" s="74">
        <v>59.311</v>
      </c>
      <c r="J33" s="33">
        <v>144.27166666666668</v>
      </c>
      <c r="K33" s="133"/>
    </row>
    <row r="34" spans="1:11">
      <c r="A34" s="62" t="s">
        <v>400</v>
      </c>
      <c r="B34" s="74">
        <f t="shared" ref="B34:B39" si="7">+I33</f>
        <v>59.311</v>
      </c>
      <c r="C34" s="74">
        <v>1241.4686400000001</v>
      </c>
      <c r="D34" s="74">
        <v>0.10286766252</v>
      </c>
      <c r="E34" s="74">
        <f t="shared" ref="E34:E39" si="8">SUM(B34:D34)</f>
        <v>1300.8825076625201</v>
      </c>
      <c r="F34" s="74">
        <f t="shared" si="6"/>
        <v>1133.5282028978029</v>
      </c>
      <c r="G34" s="74">
        <v>105.24330476471701</v>
      </c>
      <c r="H34" s="74">
        <f t="shared" si="2"/>
        <v>1238.77150766252</v>
      </c>
      <c r="I34" s="74">
        <v>62.110999999999997</v>
      </c>
      <c r="J34" s="33">
        <v>150.35666666666665</v>
      </c>
      <c r="K34" s="133"/>
    </row>
    <row r="35" spans="1:11">
      <c r="A35" s="62" t="s">
        <v>404</v>
      </c>
      <c r="B35" s="74">
        <f t="shared" si="7"/>
        <v>62.110999999999997</v>
      </c>
      <c r="C35" s="74">
        <v>1261.7386899999999</v>
      </c>
      <c r="D35" s="74">
        <v>0</v>
      </c>
      <c r="E35" s="74">
        <f t="shared" si="8"/>
        <v>1323.84969</v>
      </c>
      <c r="F35" s="74">
        <f t="shared" si="6"/>
        <v>1149.4484322140261</v>
      </c>
      <c r="G35" s="74">
        <v>118.998257785974</v>
      </c>
      <c r="H35" s="74">
        <f t="shared" si="2"/>
        <v>1268.44669</v>
      </c>
      <c r="I35" s="74">
        <v>55.402999999999999</v>
      </c>
      <c r="J35" s="33">
        <v>253.80583333333334</v>
      </c>
      <c r="K35" s="133"/>
    </row>
    <row r="36" spans="1:11">
      <c r="A36" s="115" t="s">
        <v>411</v>
      </c>
      <c r="B36" s="74">
        <f t="shared" si="7"/>
        <v>55.402999999999999</v>
      </c>
      <c r="C36" s="74">
        <v>938.38984000000005</v>
      </c>
      <c r="D36" s="74">
        <v>0</v>
      </c>
      <c r="E36" s="74">
        <f t="shared" si="8"/>
        <v>993.79284000000007</v>
      </c>
      <c r="F36" s="74">
        <f t="shared" ref="F36:F42" si="9">+H36-G36</f>
        <v>886.78155914339106</v>
      </c>
      <c r="G36" s="74">
        <v>89.668280856609016</v>
      </c>
      <c r="H36" s="74">
        <f t="shared" si="2"/>
        <v>976.44984000000011</v>
      </c>
      <c r="I36" s="74">
        <v>17.343</v>
      </c>
      <c r="J36" s="33">
        <v>255.22916666666666</v>
      </c>
      <c r="K36" s="133"/>
    </row>
    <row r="37" spans="1:11">
      <c r="A37" s="115" t="s">
        <v>417</v>
      </c>
      <c r="B37" s="74">
        <f t="shared" si="7"/>
        <v>17.343</v>
      </c>
      <c r="C37" s="74">
        <v>883.33389</v>
      </c>
      <c r="D37" s="74">
        <v>0</v>
      </c>
      <c r="E37" s="74">
        <f t="shared" si="8"/>
        <v>900.67688999999996</v>
      </c>
      <c r="F37" s="74">
        <f t="shared" si="9"/>
        <v>766.586233261252</v>
      </c>
      <c r="G37" s="74">
        <v>79.85765673874802</v>
      </c>
      <c r="H37" s="74">
        <f t="shared" si="2"/>
        <v>846.44389000000001</v>
      </c>
      <c r="I37" s="74">
        <v>54.232999999999997</v>
      </c>
      <c r="J37" s="33">
        <v>220.89583333333334</v>
      </c>
      <c r="K37" s="133"/>
    </row>
    <row r="38" spans="1:11">
      <c r="A38" s="115" t="s">
        <v>420</v>
      </c>
      <c r="B38" s="74">
        <f t="shared" si="7"/>
        <v>54.232999999999997</v>
      </c>
      <c r="C38" s="74">
        <v>1163</v>
      </c>
      <c r="D38" s="74">
        <v>0</v>
      </c>
      <c r="E38" s="74">
        <f t="shared" si="8"/>
        <v>1217.2329999999999</v>
      </c>
      <c r="F38" s="74">
        <f t="shared" si="9"/>
        <v>1079.1315450784268</v>
      </c>
      <c r="G38" s="74">
        <v>93.101454921573023</v>
      </c>
      <c r="H38" s="74">
        <f t="shared" si="2"/>
        <v>1172.2329999999999</v>
      </c>
      <c r="I38" s="74">
        <v>45</v>
      </c>
      <c r="J38" s="33">
        <v>273.83999999999997</v>
      </c>
      <c r="K38" s="133"/>
    </row>
    <row r="39" spans="1:11">
      <c r="A39" s="115" t="s">
        <v>425</v>
      </c>
      <c r="B39" s="74">
        <f t="shared" si="7"/>
        <v>45</v>
      </c>
      <c r="C39" s="74">
        <v>1090</v>
      </c>
      <c r="D39" s="74">
        <v>0</v>
      </c>
      <c r="E39" s="74">
        <f t="shared" si="8"/>
        <v>1135</v>
      </c>
      <c r="F39" s="74">
        <f t="shared" si="9"/>
        <v>981.97422199016</v>
      </c>
      <c r="G39" s="74">
        <v>103.02577800984</v>
      </c>
      <c r="H39" s="74">
        <f t="shared" si="2"/>
        <v>1085</v>
      </c>
      <c r="I39" s="74">
        <v>50</v>
      </c>
      <c r="J39" s="33">
        <v>275.13</v>
      </c>
      <c r="K39" s="133"/>
    </row>
    <row r="40" spans="1:11">
      <c r="A40" s="115" t="s">
        <v>438</v>
      </c>
      <c r="B40" s="74">
        <f t="shared" ref="B40:B45" si="10">+I39</f>
        <v>50</v>
      </c>
      <c r="C40" s="74">
        <v>1125</v>
      </c>
      <c r="D40" s="74">
        <v>0</v>
      </c>
      <c r="E40" s="74">
        <f t="shared" ref="E40:E46" si="11">SUM(B40:D40)</f>
        <v>1175</v>
      </c>
      <c r="F40" s="74">
        <f t="shared" si="9"/>
        <v>1012.034090659842</v>
      </c>
      <c r="G40" s="74">
        <v>112.96590934015799</v>
      </c>
      <c r="H40" s="74">
        <f t="shared" si="2"/>
        <v>1125</v>
      </c>
      <c r="I40" s="74">
        <v>50</v>
      </c>
      <c r="J40" s="33">
        <v>331.52</v>
      </c>
      <c r="K40" s="133"/>
    </row>
    <row r="41" spans="1:11">
      <c r="A41" s="115" t="s">
        <v>464</v>
      </c>
      <c r="B41" s="74">
        <f t="shared" si="10"/>
        <v>50</v>
      </c>
      <c r="C41" s="74">
        <v>900</v>
      </c>
      <c r="D41" s="74">
        <v>0</v>
      </c>
      <c r="E41" s="74">
        <f t="shared" si="11"/>
        <v>950</v>
      </c>
      <c r="F41" s="74">
        <f t="shared" si="9"/>
        <v>811.40726603231099</v>
      </c>
      <c r="G41" s="74">
        <v>88.592733967689014</v>
      </c>
      <c r="H41" s="74">
        <f t="shared" si="2"/>
        <v>900</v>
      </c>
      <c r="I41" s="74">
        <v>50</v>
      </c>
      <c r="J41" s="33">
        <v>377.51</v>
      </c>
      <c r="K41" s="133"/>
    </row>
    <row r="42" spans="1:11">
      <c r="A42" s="115" t="s">
        <v>492</v>
      </c>
      <c r="B42" s="74">
        <f t="shared" si="10"/>
        <v>50</v>
      </c>
      <c r="C42" s="200">
        <v>855</v>
      </c>
      <c r="D42" s="200">
        <v>2.8779135588000004E-2</v>
      </c>
      <c r="E42" s="74">
        <f t="shared" si="11"/>
        <v>905.02877913558802</v>
      </c>
      <c r="F42" s="74">
        <f t="shared" si="9"/>
        <v>794.21591655320196</v>
      </c>
      <c r="G42" s="200">
        <v>68.496862582386001</v>
      </c>
      <c r="H42" s="74">
        <f t="shared" si="2"/>
        <v>862.71277913558799</v>
      </c>
      <c r="I42" s="200">
        <v>42.316000000000003</v>
      </c>
      <c r="J42" s="214">
        <v>304.27</v>
      </c>
      <c r="K42" s="133"/>
    </row>
    <row r="43" spans="1:11">
      <c r="A43" s="115" t="s">
        <v>495</v>
      </c>
      <c r="B43" s="74">
        <f t="shared" si="10"/>
        <v>42.316000000000003</v>
      </c>
      <c r="C43" s="200">
        <v>705</v>
      </c>
      <c r="D43" s="200">
        <v>0</v>
      </c>
      <c r="E43" s="74">
        <f t="shared" si="11"/>
        <v>747.31600000000003</v>
      </c>
      <c r="F43" s="74">
        <f>H43-G43</f>
        <v>637.94291024540598</v>
      </c>
      <c r="G43" s="200">
        <v>89.697089754594018</v>
      </c>
      <c r="H43" s="74">
        <f t="shared" si="2"/>
        <v>727.64</v>
      </c>
      <c r="I43" s="200">
        <v>19.675999999999998</v>
      </c>
      <c r="J43" s="214">
        <v>261.19</v>
      </c>
      <c r="K43" s="133"/>
    </row>
    <row r="44" spans="1:11">
      <c r="A44" s="115" t="s">
        <v>498</v>
      </c>
      <c r="B44" s="74">
        <f t="shared" si="10"/>
        <v>19.675999999999998</v>
      </c>
      <c r="C44" s="200">
        <v>805.29299999999989</v>
      </c>
      <c r="D44" s="200">
        <v>0</v>
      </c>
      <c r="E44" s="74">
        <f t="shared" si="11"/>
        <v>824.96899999999994</v>
      </c>
      <c r="F44" s="74">
        <f>H44-G44</f>
        <v>687.01285035747389</v>
      </c>
      <c r="G44" s="200">
        <v>110.22014964252601</v>
      </c>
      <c r="H44" s="74">
        <f t="shared" si="2"/>
        <v>797.23299999999995</v>
      </c>
      <c r="I44" s="200">
        <v>27.736000000000001</v>
      </c>
      <c r="J44" s="214">
        <v>208.61249999999998</v>
      </c>
      <c r="K44" s="133"/>
    </row>
    <row r="45" spans="1:11">
      <c r="A45" s="129" t="s">
        <v>569</v>
      </c>
      <c r="B45" s="74">
        <f t="shared" si="10"/>
        <v>27.736000000000001</v>
      </c>
      <c r="C45" s="200">
        <v>845</v>
      </c>
      <c r="D45" s="200">
        <v>0</v>
      </c>
      <c r="E45" s="74">
        <f>SUM(B45:D45)</f>
        <v>872.73599999999999</v>
      </c>
      <c r="F45" s="74">
        <v>708</v>
      </c>
      <c r="G45" s="200">
        <v>119</v>
      </c>
      <c r="H45" s="74">
        <f t="shared" si="2"/>
        <v>827.92700000000002</v>
      </c>
      <c r="I45" s="200">
        <v>44.808999999999997</v>
      </c>
      <c r="J45" s="214">
        <v>260.88</v>
      </c>
      <c r="K45" s="133"/>
    </row>
    <row r="46" spans="1:11">
      <c r="A46" s="136" t="s">
        <v>628</v>
      </c>
      <c r="B46" s="37">
        <v>45</v>
      </c>
      <c r="C46" s="199">
        <v>855</v>
      </c>
      <c r="D46" s="199">
        <v>0</v>
      </c>
      <c r="E46" s="37">
        <f t="shared" si="11"/>
        <v>900</v>
      </c>
      <c r="F46" s="37">
        <v>750</v>
      </c>
      <c r="G46" s="199">
        <v>110</v>
      </c>
      <c r="H46" s="37">
        <f t="shared" si="2"/>
        <v>860</v>
      </c>
      <c r="I46" s="199">
        <v>40</v>
      </c>
      <c r="J46" s="314" t="s">
        <v>662</v>
      </c>
      <c r="K46" s="133"/>
    </row>
    <row r="47" spans="1:11" ht="12" customHeight="1">
      <c r="A47" s="107" t="s">
        <v>285</v>
      </c>
    </row>
    <row r="48" spans="1:11" ht="12" customHeight="1">
      <c r="A48" s="107" t="s">
        <v>534</v>
      </c>
    </row>
    <row r="49" spans="1:10" ht="10.199999999999999" customHeight="1">
      <c r="A49" s="107" t="s">
        <v>533</v>
      </c>
    </row>
    <row r="50" spans="1:10">
      <c r="I50" s="269"/>
      <c r="J50" s="269" t="s">
        <v>679</v>
      </c>
    </row>
  </sheetData>
  <phoneticPr fontId="0" type="noConversion"/>
  <pageMargins left="0.7" right="0.7" top="0.75" bottom="0.75" header="0.3" footer="0.3"/>
  <pageSetup scale="84" firstPageNumber="46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"/>
  <sheetViews>
    <sheetView zoomScaleNormal="100" zoomScaleSheetLayoutView="90" workbookViewId="0">
      <selection activeCell="A105" sqref="A105"/>
    </sheetView>
  </sheetViews>
  <sheetFormatPr defaultRowHeight="10.199999999999999"/>
  <cols>
    <col min="1" max="1" width="20.85546875" customWidth="1"/>
    <col min="2" max="4" width="26.85546875" customWidth="1"/>
  </cols>
  <sheetData>
    <row r="1" spans="1:4">
      <c r="A1" s="114" t="s">
        <v>608</v>
      </c>
      <c r="B1" s="1"/>
      <c r="C1" s="1"/>
      <c r="D1" s="1"/>
    </row>
    <row r="2" spans="1:4">
      <c r="A2" s="3" t="s">
        <v>0</v>
      </c>
      <c r="B2" s="4" t="s">
        <v>1</v>
      </c>
      <c r="C2" s="4" t="s">
        <v>2</v>
      </c>
      <c r="D2" s="4" t="s">
        <v>3</v>
      </c>
    </row>
    <row r="3" spans="1:4">
      <c r="C3" s="268" t="s">
        <v>4</v>
      </c>
      <c r="D3" s="268"/>
    </row>
    <row r="4" spans="1:4">
      <c r="A4" t="s">
        <v>19</v>
      </c>
      <c r="B4" s="5"/>
      <c r="C4" s="5"/>
      <c r="D4" s="5"/>
    </row>
    <row r="5" spans="1:4">
      <c r="A5" t="s">
        <v>5</v>
      </c>
      <c r="B5" s="5">
        <v>1150000</v>
      </c>
      <c r="C5" s="5">
        <v>1032666</v>
      </c>
      <c r="D5" s="5">
        <f>B5+C5</f>
        <v>2182666</v>
      </c>
    </row>
    <row r="6" spans="1:4">
      <c r="A6" t="s">
        <v>6</v>
      </c>
      <c r="B6" s="5">
        <v>730000</v>
      </c>
      <c r="C6" s="5">
        <v>665986</v>
      </c>
      <c r="D6" s="5">
        <f>B6+C6</f>
        <v>1395986</v>
      </c>
    </row>
    <row r="7" spans="1:4">
      <c r="A7" t="s">
        <v>7</v>
      </c>
      <c r="B7" s="5">
        <v>370000</v>
      </c>
      <c r="C7" s="5">
        <v>404425</v>
      </c>
      <c r="D7" s="5">
        <f>B7+C7</f>
        <v>774425</v>
      </c>
    </row>
    <row r="8" spans="1:4">
      <c r="A8" s="38" t="s">
        <v>8</v>
      </c>
      <c r="B8" s="5">
        <v>112500</v>
      </c>
      <c r="C8" s="5">
        <v>177662</v>
      </c>
      <c r="D8" s="5">
        <f>B8+C8</f>
        <v>290162</v>
      </c>
    </row>
    <row r="9" spans="1:4">
      <c r="A9" t="s">
        <v>333</v>
      </c>
      <c r="B9" s="5"/>
      <c r="C9" s="5"/>
      <c r="D9" s="61"/>
    </row>
    <row r="10" spans="1:4">
      <c r="A10" t="s">
        <v>5</v>
      </c>
      <c r="B10" s="5">
        <v>1217000</v>
      </c>
      <c r="C10" s="5">
        <v>1022991</v>
      </c>
      <c r="D10" s="5">
        <f>B10+C10</f>
        <v>2239991</v>
      </c>
    </row>
    <row r="11" spans="1:4">
      <c r="A11" t="s">
        <v>6</v>
      </c>
      <c r="B11" s="5">
        <v>780000</v>
      </c>
      <c r="C11" s="5">
        <v>623908</v>
      </c>
      <c r="D11" s="5">
        <f>B11+C11</f>
        <v>1403908</v>
      </c>
    </row>
    <row r="12" spans="1:4">
      <c r="A12" t="s">
        <v>7</v>
      </c>
      <c r="B12" s="5">
        <v>365000</v>
      </c>
      <c r="C12" s="5">
        <v>343180</v>
      </c>
      <c r="D12" s="5">
        <f>B12+C12</f>
        <v>708180</v>
      </c>
    </row>
    <row r="13" spans="1:4">
      <c r="A13" s="38" t="s">
        <v>8</v>
      </c>
      <c r="B13" s="5">
        <v>83500</v>
      </c>
      <c r="C13" s="5">
        <v>164247</v>
      </c>
      <c r="D13" s="5">
        <f>B13+C13</f>
        <v>247747</v>
      </c>
    </row>
    <row r="14" spans="1:4">
      <c r="A14" t="s">
        <v>341</v>
      </c>
      <c r="B14" s="5"/>
      <c r="C14" s="5"/>
      <c r="D14" s="84"/>
    </row>
    <row r="15" spans="1:4">
      <c r="A15" t="s">
        <v>5</v>
      </c>
      <c r="B15" s="5">
        <v>1240000</v>
      </c>
      <c r="C15" s="5">
        <v>1035618</v>
      </c>
      <c r="D15" s="5">
        <f>B15+C15</f>
        <v>2275618</v>
      </c>
    </row>
    <row r="16" spans="1:4">
      <c r="A16" t="s">
        <v>6</v>
      </c>
      <c r="B16" s="5">
        <v>687000</v>
      </c>
      <c r="C16" s="5">
        <v>648987</v>
      </c>
      <c r="D16" s="5">
        <f>B16+C16</f>
        <v>1335987</v>
      </c>
    </row>
    <row r="17" spans="1:4">
      <c r="A17" t="s">
        <v>7</v>
      </c>
      <c r="B17" s="5">
        <v>301200</v>
      </c>
      <c r="C17" s="5">
        <v>383721</v>
      </c>
      <c r="D17" s="5">
        <f>B17+C17</f>
        <v>684921</v>
      </c>
    </row>
    <row r="18" spans="1:4">
      <c r="A18" s="38" t="s">
        <v>8</v>
      </c>
      <c r="B18" s="5">
        <v>62700</v>
      </c>
      <c r="C18" s="5">
        <v>145361</v>
      </c>
      <c r="D18" s="5">
        <f>B18+C18</f>
        <v>208061</v>
      </c>
    </row>
    <row r="19" spans="1:4">
      <c r="A19" t="s">
        <v>353</v>
      </c>
      <c r="B19" s="61"/>
      <c r="C19" s="84"/>
      <c r="D19" s="84"/>
    </row>
    <row r="20" spans="1:4">
      <c r="A20" t="s">
        <v>5</v>
      </c>
      <c r="B20" s="5">
        <v>1172000</v>
      </c>
      <c r="C20" s="5">
        <v>943373</v>
      </c>
      <c r="D20" s="5">
        <f>B20+C20</f>
        <v>2115373</v>
      </c>
    </row>
    <row r="21" spans="1:4">
      <c r="A21" t="s">
        <v>6</v>
      </c>
      <c r="B21" s="5">
        <v>636500</v>
      </c>
      <c r="C21" s="5">
        <v>565528</v>
      </c>
      <c r="D21" s="5">
        <f>B21+C21</f>
        <v>1202028</v>
      </c>
    </row>
    <row r="22" spans="1:4">
      <c r="A22" t="s">
        <v>7</v>
      </c>
      <c r="B22" s="5">
        <v>272500</v>
      </c>
      <c r="C22" s="5">
        <v>329862</v>
      </c>
      <c r="D22" s="5">
        <f>B22+C22</f>
        <v>602362</v>
      </c>
    </row>
    <row r="23" spans="1:4">
      <c r="A23" s="38" t="s">
        <v>8</v>
      </c>
      <c r="B23" s="5">
        <v>58000</v>
      </c>
      <c r="C23" s="5">
        <v>120329</v>
      </c>
      <c r="D23" s="5">
        <f>B23+C23</f>
        <v>178329</v>
      </c>
    </row>
    <row r="24" spans="1:4">
      <c r="A24" t="s">
        <v>363</v>
      </c>
      <c r="B24" s="61"/>
      <c r="C24" s="61"/>
      <c r="D24" s="61"/>
    </row>
    <row r="25" spans="1:4">
      <c r="A25" t="s">
        <v>5</v>
      </c>
      <c r="B25" s="5">
        <v>820000</v>
      </c>
      <c r="C25" s="5">
        <v>868653</v>
      </c>
      <c r="D25" s="5">
        <f>B25+C25</f>
        <v>1688653</v>
      </c>
    </row>
    <row r="26" spans="1:4">
      <c r="A26" t="s">
        <v>6</v>
      </c>
      <c r="B26" s="5">
        <v>355900</v>
      </c>
      <c r="C26" s="5">
        <v>549947</v>
      </c>
      <c r="D26" s="5">
        <f>B26+C26</f>
        <v>905847</v>
      </c>
    </row>
    <row r="27" spans="1:4">
      <c r="A27" t="s">
        <v>7</v>
      </c>
      <c r="B27" s="5">
        <v>110000</v>
      </c>
      <c r="C27" s="5">
        <v>300604</v>
      </c>
      <c r="D27" s="5">
        <f>B27+C27</f>
        <v>410604</v>
      </c>
    </row>
    <row r="28" spans="1:4">
      <c r="A28" s="38" t="s">
        <v>8</v>
      </c>
      <c r="B28" s="5">
        <v>29400</v>
      </c>
      <c r="C28" s="5">
        <v>83014</v>
      </c>
      <c r="D28" s="5">
        <f>+B28+C28</f>
        <v>112414</v>
      </c>
    </row>
    <row r="29" spans="1:4">
      <c r="A29" s="123" t="s">
        <v>366</v>
      </c>
      <c r="B29" s="5"/>
      <c r="C29" s="5"/>
      <c r="D29" s="61"/>
    </row>
    <row r="30" spans="1:4">
      <c r="A30" t="s">
        <v>5</v>
      </c>
      <c r="B30" s="5">
        <v>1300000</v>
      </c>
      <c r="C30" s="5">
        <v>1004640</v>
      </c>
      <c r="D30" s="5">
        <f>+B30+C30</f>
        <v>2304640</v>
      </c>
    </row>
    <row r="31" spans="1:4">
      <c r="A31" t="s">
        <v>6</v>
      </c>
      <c r="B31" s="5">
        <v>795000</v>
      </c>
      <c r="C31" s="5">
        <v>586364</v>
      </c>
      <c r="D31" s="5">
        <f>+B31+C31</f>
        <v>1381364</v>
      </c>
    </row>
    <row r="32" spans="1:4">
      <c r="A32" t="s">
        <v>7</v>
      </c>
      <c r="B32" s="5">
        <v>356100</v>
      </c>
      <c r="C32" s="5">
        <v>343174</v>
      </c>
      <c r="D32" s="5">
        <f>+B32+C32</f>
        <v>699274</v>
      </c>
    </row>
    <row r="33" spans="1:4">
      <c r="A33" s="38" t="s">
        <v>8</v>
      </c>
      <c r="B33" s="5">
        <v>99700</v>
      </c>
      <c r="C33" s="5">
        <v>156038</v>
      </c>
      <c r="D33" s="5">
        <f>+B33+C33</f>
        <v>255738</v>
      </c>
    </row>
    <row r="34" spans="1:4">
      <c r="A34" s="123" t="s">
        <v>385</v>
      </c>
      <c r="B34" s="5"/>
      <c r="C34" s="5"/>
      <c r="D34" s="61"/>
    </row>
    <row r="35" spans="1:4">
      <c r="A35" t="s">
        <v>5</v>
      </c>
      <c r="B35" s="5">
        <v>1345000</v>
      </c>
      <c r="C35" s="5">
        <v>1156426</v>
      </c>
      <c r="D35" s="5">
        <f>B35+C35</f>
        <v>2501426</v>
      </c>
    </row>
    <row r="36" spans="1:4">
      <c r="A36" t="s">
        <v>6</v>
      </c>
      <c r="B36" s="5">
        <v>872000</v>
      </c>
      <c r="C36" s="5">
        <v>797206</v>
      </c>
      <c r="D36" s="5">
        <f>B36+C36</f>
        <v>1669206</v>
      </c>
    </row>
    <row r="37" spans="1:4">
      <c r="A37" t="s">
        <v>7</v>
      </c>
      <c r="B37" s="5">
        <v>495500</v>
      </c>
      <c r="C37" s="5">
        <v>495199</v>
      </c>
      <c r="D37" s="5">
        <f>B37+C37</f>
        <v>990699</v>
      </c>
    </row>
    <row r="38" spans="1:4">
      <c r="A38" s="38" t="s">
        <v>8</v>
      </c>
      <c r="B38" s="5">
        <v>176300</v>
      </c>
      <c r="C38" s="5">
        <v>273026</v>
      </c>
      <c r="D38" s="5">
        <f>B38+C38</f>
        <v>449326</v>
      </c>
    </row>
    <row r="39" spans="1:4">
      <c r="A39" s="123" t="s">
        <v>400</v>
      </c>
      <c r="B39" s="5"/>
      <c r="C39" s="5"/>
      <c r="D39" s="61"/>
    </row>
    <row r="40" spans="1:4">
      <c r="A40" s="38" t="s">
        <v>5</v>
      </c>
      <c r="B40" s="5">
        <v>1461000</v>
      </c>
      <c r="C40" s="5">
        <v>1240366</v>
      </c>
      <c r="D40" s="5">
        <f>+B40+C40</f>
        <v>2701366</v>
      </c>
    </row>
    <row r="41" spans="1:4">
      <c r="A41" t="s">
        <v>6</v>
      </c>
      <c r="B41" s="5">
        <v>910000</v>
      </c>
      <c r="C41" s="5">
        <v>876887</v>
      </c>
      <c r="D41" s="5">
        <f>+B41+C41</f>
        <v>1786887</v>
      </c>
    </row>
    <row r="42" spans="1:4">
      <c r="A42" t="s">
        <v>7</v>
      </c>
      <c r="B42" s="5">
        <v>500000</v>
      </c>
      <c r="C42" s="5">
        <v>592185</v>
      </c>
      <c r="D42" s="5">
        <f>+B42+C42</f>
        <v>1092185</v>
      </c>
    </row>
    <row r="43" spans="1:4">
      <c r="A43" s="38" t="s">
        <v>8</v>
      </c>
      <c r="B43" s="5">
        <v>143000</v>
      </c>
      <c r="C43" s="5">
        <v>430810</v>
      </c>
      <c r="D43" s="5">
        <f>+B43+C43</f>
        <v>573810</v>
      </c>
    </row>
    <row r="44" spans="1:4">
      <c r="A44" s="123" t="s">
        <v>404</v>
      </c>
      <c r="B44" s="5"/>
      <c r="C44" s="5"/>
      <c r="D44" s="5"/>
    </row>
    <row r="45" spans="1:4">
      <c r="A45" s="38" t="s">
        <v>5</v>
      </c>
      <c r="B45" s="5">
        <v>1128500</v>
      </c>
      <c r="C45" s="5">
        <v>1231860</v>
      </c>
      <c r="D45" s="5">
        <f>+B45+C45</f>
        <v>2360360</v>
      </c>
    </row>
    <row r="46" spans="1:4">
      <c r="A46" t="s">
        <v>6</v>
      </c>
      <c r="B46" s="5">
        <v>593000</v>
      </c>
      <c r="C46" s="5">
        <v>840982</v>
      </c>
      <c r="D46" s="5">
        <f>+B46+C46</f>
        <v>1433982</v>
      </c>
    </row>
    <row r="47" spans="1:4">
      <c r="A47" t="s">
        <v>7</v>
      </c>
      <c r="B47" s="5">
        <v>226600</v>
      </c>
      <c r="C47" s="5">
        <v>449543</v>
      </c>
      <c r="D47" s="5">
        <f>+B47+C47</f>
        <v>676143</v>
      </c>
    </row>
    <row r="48" spans="1:4">
      <c r="A48" s="38" t="s">
        <v>8</v>
      </c>
      <c r="B48" s="5">
        <v>47000</v>
      </c>
      <c r="C48" s="5">
        <v>158034</v>
      </c>
      <c r="D48" s="5">
        <f>+B48+C48</f>
        <v>205034</v>
      </c>
    </row>
    <row r="49" spans="1:4">
      <c r="A49" s="123" t="s">
        <v>411</v>
      </c>
      <c r="B49" s="5"/>
      <c r="C49" s="5"/>
      <c r="D49" s="61"/>
    </row>
    <row r="50" spans="1:4">
      <c r="A50" s="38" t="s">
        <v>5</v>
      </c>
      <c r="B50" s="5">
        <v>1189000</v>
      </c>
      <c r="C50" s="5">
        <v>1086432</v>
      </c>
      <c r="D50" s="5">
        <f>+B50+C50</f>
        <v>2275432</v>
      </c>
    </row>
    <row r="51" spans="1:4">
      <c r="A51" t="s">
        <v>6</v>
      </c>
      <c r="B51" s="61">
        <v>656500</v>
      </c>
      <c r="C51" s="61">
        <v>645289</v>
      </c>
      <c r="D51" s="5">
        <f>+B51+C51</f>
        <v>1301789</v>
      </c>
    </row>
    <row r="52" spans="1:4">
      <c r="A52" t="s">
        <v>7</v>
      </c>
      <c r="B52" s="61">
        <v>226300</v>
      </c>
      <c r="C52" s="61">
        <v>369859</v>
      </c>
      <c r="D52" s="5">
        <f>+B52+C52</f>
        <v>596159</v>
      </c>
    </row>
    <row r="53" spans="1:4">
      <c r="A53" s="38" t="s">
        <v>8</v>
      </c>
      <c r="B53" s="61">
        <v>35100</v>
      </c>
      <c r="C53" s="61">
        <v>103098</v>
      </c>
      <c r="D53" s="5">
        <f>+B53+C53</f>
        <v>138198</v>
      </c>
    </row>
    <row r="54" spans="1:4">
      <c r="A54" s="123" t="s">
        <v>417</v>
      </c>
      <c r="B54" s="61"/>
      <c r="C54" s="61"/>
      <c r="D54" s="61"/>
    </row>
    <row r="55" spans="1:4">
      <c r="A55" s="38" t="s">
        <v>5</v>
      </c>
      <c r="B55" s="5">
        <v>1229500</v>
      </c>
      <c r="C55" s="5">
        <v>1109050</v>
      </c>
      <c r="D55" s="5">
        <f>+B55+C55</f>
        <v>2338550</v>
      </c>
    </row>
    <row r="56" spans="1:4">
      <c r="A56" t="s">
        <v>6</v>
      </c>
      <c r="B56" s="5">
        <v>609200</v>
      </c>
      <c r="C56" s="5">
        <v>660868</v>
      </c>
      <c r="D56" s="5">
        <f>+B56+C56</f>
        <v>1270068</v>
      </c>
    </row>
    <row r="57" spans="1:4">
      <c r="A57" t="s">
        <v>7</v>
      </c>
      <c r="B57" s="5">
        <v>232600</v>
      </c>
      <c r="C57" s="5">
        <v>338523</v>
      </c>
      <c r="D57" s="5">
        <f>+B57+C57</f>
        <v>571123</v>
      </c>
    </row>
    <row r="58" spans="1:4">
      <c r="A58" s="38" t="s">
        <v>8</v>
      </c>
      <c r="B58" s="5">
        <v>35400</v>
      </c>
      <c r="C58" s="5">
        <v>115485</v>
      </c>
      <c r="D58" s="5">
        <f>+B58+C58</f>
        <v>150885</v>
      </c>
    </row>
    <row r="59" spans="1:4">
      <c r="A59" s="135" t="s">
        <v>420</v>
      </c>
      <c r="B59" s="5"/>
      <c r="C59" s="5"/>
      <c r="D59" s="5"/>
    </row>
    <row r="60" spans="1:4">
      <c r="A60" s="38" t="s">
        <v>5</v>
      </c>
      <c r="B60" s="5">
        <v>1091000</v>
      </c>
      <c r="C60" s="5">
        <v>1187084</v>
      </c>
      <c r="D60" s="5">
        <f>+B60+C60</f>
        <v>2278084</v>
      </c>
    </row>
    <row r="61" spans="1:4">
      <c r="A61" t="s">
        <v>6</v>
      </c>
      <c r="B61" s="5">
        <v>505000</v>
      </c>
      <c r="C61" s="5">
        <v>743800</v>
      </c>
      <c r="D61" s="5">
        <f>+B61+C61</f>
        <v>1248800</v>
      </c>
    </row>
    <row r="62" spans="1:4">
      <c r="A62" t="s">
        <v>7</v>
      </c>
      <c r="B62" s="5">
        <v>217700</v>
      </c>
      <c r="C62" s="5">
        <v>401583</v>
      </c>
      <c r="D62" s="5">
        <f>+B62+C62</f>
        <v>619283</v>
      </c>
    </row>
    <row r="63" spans="1:4">
      <c r="A63" s="38" t="s">
        <v>8</v>
      </c>
      <c r="B63" s="5">
        <v>48500</v>
      </c>
      <c r="C63" s="5">
        <v>166513</v>
      </c>
      <c r="D63" s="5">
        <f>+B63+C63</f>
        <v>215013</v>
      </c>
    </row>
    <row r="64" spans="1:4">
      <c r="A64" s="135" t="s">
        <v>425</v>
      </c>
      <c r="B64" s="5"/>
      <c r="C64" s="5"/>
      <c r="D64" s="5"/>
    </row>
    <row r="65" spans="1:4">
      <c r="A65" s="38" t="s">
        <v>5</v>
      </c>
      <c r="B65" s="5">
        <v>1139000</v>
      </c>
      <c r="C65" s="5">
        <v>1230885</v>
      </c>
      <c r="D65" s="5">
        <f>B65+C65</f>
        <v>2369885</v>
      </c>
    </row>
    <row r="66" spans="1:4">
      <c r="A66" t="s">
        <v>6</v>
      </c>
      <c r="B66" s="5">
        <v>555000</v>
      </c>
      <c r="C66" s="5">
        <v>819488</v>
      </c>
      <c r="D66" s="5">
        <f>B66+C66</f>
        <v>1374488</v>
      </c>
    </row>
    <row r="67" spans="1:4">
      <c r="A67" t="s">
        <v>7</v>
      </c>
      <c r="B67" s="5">
        <v>179000</v>
      </c>
      <c r="C67" s="5">
        <v>488465</v>
      </c>
      <c r="D67" s="5">
        <f>B67+C67</f>
        <v>667465</v>
      </c>
    </row>
    <row r="68" spans="1:4">
      <c r="A68" s="38" t="s">
        <v>8</v>
      </c>
      <c r="B68" s="5">
        <v>38250</v>
      </c>
      <c r="C68" s="5">
        <v>131120</v>
      </c>
      <c r="D68" s="5">
        <f>B68+C68</f>
        <v>169370</v>
      </c>
    </row>
    <row r="69" spans="1:4">
      <c r="A69" s="135" t="s">
        <v>438</v>
      </c>
      <c r="B69" s="5"/>
      <c r="C69" s="5"/>
      <c r="D69" s="5"/>
    </row>
    <row r="70" spans="1:4">
      <c r="A70" s="38" t="s">
        <v>5</v>
      </c>
      <c r="B70" s="5">
        <v>910000</v>
      </c>
      <c r="C70" s="5">
        <v>1056161</v>
      </c>
      <c r="D70" s="5">
        <f>B70+C70</f>
        <v>1966161</v>
      </c>
    </row>
    <row r="71" spans="1:4">
      <c r="A71" t="s">
        <v>6</v>
      </c>
      <c r="B71" s="5">
        <v>456700</v>
      </c>
      <c r="C71" s="5">
        <v>541320</v>
      </c>
      <c r="D71" s="5">
        <f>B71+C71</f>
        <v>998020</v>
      </c>
    </row>
    <row r="72" spans="1:4">
      <c r="A72" t="s">
        <v>7</v>
      </c>
      <c r="B72" s="5">
        <v>171100</v>
      </c>
      <c r="C72" s="5">
        <v>263564</v>
      </c>
      <c r="D72" s="5">
        <f>B72+C72</f>
        <v>434664</v>
      </c>
    </row>
    <row r="73" spans="1:4">
      <c r="A73" s="38" t="s">
        <v>8</v>
      </c>
      <c r="B73" s="5">
        <v>39550</v>
      </c>
      <c r="C73" s="5">
        <v>101007</v>
      </c>
      <c r="D73" s="5">
        <f>B73+C73</f>
        <v>140557</v>
      </c>
    </row>
    <row r="74" spans="1:4">
      <c r="A74" s="135" t="s">
        <v>464</v>
      </c>
      <c r="B74" s="5"/>
      <c r="C74" s="5"/>
      <c r="D74" s="5"/>
    </row>
    <row r="75" spans="1:4">
      <c r="A75" s="38" t="s">
        <v>5</v>
      </c>
      <c r="B75" s="5">
        <v>955000</v>
      </c>
      <c r="C75" s="5">
        <v>1198621</v>
      </c>
      <c r="D75" s="5">
        <f>B75+C75</f>
        <v>2153621</v>
      </c>
    </row>
    <row r="76" spans="1:4">
      <c r="A76" t="s">
        <v>6</v>
      </c>
      <c r="B76" s="5">
        <v>381900</v>
      </c>
      <c r="C76" s="5">
        <v>611928</v>
      </c>
      <c r="D76" s="5">
        <f>B76+C76</f>
        <v>993828</v>
      </c>
    </row>
    <row r="77" spans="1:4">
      <c r="A77" t="s">
        <v>7</v>
      </c>
      <c r="B77" s="5">
        <v>109100</v>
      </c>
      <c r="C77" s="5">
        <v>295945</v>
      </c>
      <c r="D77" s="5">
        <f>B77+C77</f>
        <v>405045</v>
      </c>
    </row>
    <row r="78" spans="1:4">
      <c r="A78" s="38" t="s">
        <v>8</v>
      </c>
      <c r="B78" s="5">
        <v>21325</v>
      </c>
      <c r="C78" s="5">
        <v>70666</v>
      </c>
      <c r="D78" s="5">
        <f>B78+C78</f>
        <v>91991</v>
      </c>
    </row>
    <row r="79" spans="1:4">
      <c r="A79" s="135" t="s">
        <v>492</v>
      </c>
      <c r="B79" s="5"/>
      <c r="C79" s="5"/>
      <c r="D79" s="5"/>
    </row>
    <row r="80" spans="1:4">
      <c r="A80" s="38" t="s">
        <v>5</v>
      </c>
      <c r="B80" s="5">
        <v>1218000</v>
      </c>
      <c r="C80" s="5">
        <v>1309744</v>
      </c>
      <c r="D80" s="5">
        <f>B80+C80</f>
        <v>2527744</v>
      </c>
    </row>
    <row r="81" spans="1:4">
      <c r="A81" t="s">
        <v>6</v>
      </c>
      <c r="B81" s="5">
        <v>609200</v>
      </c>
      <c r="C81" s="5">
        <v>717399</v>
      </c>
      <c r="D81" s="5">
        <f>B81+C81</f>
        <v>1326599</v>
      </c>
    </row>
    <row r="82" spans="1:4">
      <c r="A82" t="s">
        <v>7</v>
      </c>
      <c r="B82" s="5">
        <v>246300</v>
      </c>
      <c r="C82" s="5">
        <v>380768</v>
      </c>
      <c r="D82" s="5">
        <f>B82+C82</f>
        <v>627068</v>
      </c>
    </row>
    <row r="83" spans="1:4">
      <c r="A83" s="38" t="s">
        <v>8</v>
      </c>
      <c r="B83" s="5">
        <v>49700</v>
      </c>
      <c r="C83" s="5">
        <v>140910</v>
      </c>
      <c r="D83" s="5">
        <f>B83+C83</f>
        <v>190610</v>
      </c>
    </row>
    <row r="84" spans="1:4">
      <c r="A84" s="135" t="s">
        <v>495</v>
      </c>
      <c r="B84" s="5"/>
      <c r="C84" s="5"/>
      <c r="D84" s="5"/>
    </row>
    <row r="85" spans="1:4">
      <c r="A85" s="38" t="s">
        <v>5</v>
      </c>
      <c r="B85" s="5">
        <v>1308500</v>
      </c>
      <c r="C85" s="5">
        <v>1405577</v>
      </c>
      <c r="D85" s="5">
        <f>B85+C85</f>
        <v>2714077</v>
      </c>
    </row>
    <row r="86" spans="1:4">
      <c r="A86" t="s">
        <v>6</v>
      </c>
      <c r="B86" s="5">
        <v>727500</v>
      </c>
      <c r="C86" s="5">
        <v>803406</v>
      </c>
      <c r="D86" s="5">
        <f>B86+C86</f>
        <v>1530906</v>
      </c>
    </row>
    <row r="87" spans="1:4">
      <c r="A87" t="s">
        <v>7</v>
      </c>
      <c r="B87" s="5">
        <v>281300</v>
      </c>
      <c r="C87" s="5">
        <v>590481</v>
      </c>
      <c r="D87" s="5">
        <f>B87+C87</f>
        <v>871781</v>
      </c>
    </row>
    <row r="88" spans="1:4">
      <c r="A88" s="38" t="s">
        <v>8</v>
      </c>
      <c r="B88" s="5">
        <v>41560</v>
      </c>
      <c r="C88" s="5">
        <v>155169</v>
      </c>
      <c r="D88" s="5">
        <f>B88+C88</f>
        <v>196729</v>
      </c>
    </row>
    <row r="89" spans="1:4">
      <c r="A89" s="135" t="s">
        <v>498</v>
      </c>
      <c r="B89" s="5"/>
      <c r="C89" s="5"/>
      <c r="D89" s="5"/>
    </row>
    <row r="90" spans="1:4">
      <c r="A90" s="38" t="s">
        <v>5</v>
      </c>
      <c r="B90" s="5">
        <v>1335000</v>
      </c>
      <c r="C90" s="5">
        <v>1564056</v>
      </c>
      <c r="D90" s="5">
        <f>B90+C90</f>
        <v>2899056</v>
      </c>
    </row>
    <row r="91" spans="1:4">
      <c r="A91" t="s">
        <v>6</v>
      </c>
      <c r="B91" s="5">
        <v>668500</v>
      </c>
      <c r="C91" s="5">
        <v>1070433</v>
      </c>
      <c r="D91" s="5">
        <f>B91+C91</f>
        <v>1738933</v>
      </c>
    </row>
    <row r="92" spans="1:4">
      <c r="A92" t="s">
        <v>7</v>
      </c>
      <c r="B92" s="5">
        <v>332500</v>
      </c>
      <c r="C92" s="5">
        <v>633356</v>
      </c>
      <c r="D92" s="5">
        <f>B92+C92</f>
        <v>965856</v>
      </c>
    </row>
    <row r="93" spans="1:4">
      <c r="A93" s="38" t="s">
        <v>8</v>
      </c>
      <c r="B93" s="5">
        <v>87900</v>
      </c>
      <c r="C93" s="5">
        <v>213695</v>
      </c>
      <c r="D93" s="5">
        <f>B93+C93</f>
        <v>301595</v>
      </c>
    </row>
    <row r="94" spans="1:4">
      <c r="A94" s="135" t="s">
        <v>569</v>
      </c>
      <c r="B94" s="239"/>
      <c r="C94" s="239"/>
      <c r="D94" s="5"/>
    </row>
    <row r="95" spans="1:4">
      <c r="A95" s="38" t="s">
        <v>5</v>
      </c>
      <c r="B95" s="239">
        <v>1485000</v>
      </c>
      <c r="C95" s="239">
        <v>1675679</v>
      </c>
      <c r="D95" s="5">
        <v>3160679</v>
      </c>
    </row>
    <row r="96" spans="1:4">
      <c r="A96" s="191" t="s">
        <v>6</v>
      </c>
      <c r="B96" s="239">
        <v>855000</v>
      </c>
      <c r="C96" s="239">
        <v>1254303</v>
      </c>
      <c r="D96" s="239">
        <v>2109303</v>
      </c>
    </row>
    <row r="97" spans="1:11">
      <c r="A97" s="191" t="s">
        <v>7</v>
      </c>
      <c r="B97" s="239">
        <v>377000</v>
      </c>
      <c r="C97" s="239">
        <v>842329</v>
      </c>
      <c r="D97" s="239">
        <v>1219329</v>
      </c>
    </row>
    <row r="98" spans="1:11">
      <c r="A98" s="196" t="s">
        <v>8</v>
      </c>
      <c r="B98" s="239">
        <v>101000</v>
      </c>
      <c r="C98" s="239">
        <v>337105</v>
      </c>
      <c r="D98" s="239">
        <v>438105</v>
      </c>
    </row>
    <row r="99" spans="1:11">
      <c r="A99" s="330" t="s">
        <v>623</v>
      </c>
      <c r="B99" s="239"/>
      <c r="C99" s="239"/>
      <c r="D99" s="239"/>
    </row>
    <row r="100" spans="1:11">
      <c r="A100" s="196" t="s">
        <v>5</v>
      </c>
      <c r="B100" s="239">
        <v>1935000</v>
      </c>
      <c r="C100" s="239">
        <v>1801212</v>
      </c>
      <c r="D100" s="239">
        <v>3736212</v>
      </c>
    </row>
    <row r="101" spans="1:11">
      <c r="A101" s="86"/>
      <c r="B101" s="86"/>
      <c r="C101" s="86"/>
      <c r="D101" s="86"/>
    </row>
    <row r="102" spans="1:11" ht="13.2" customHeight="1">
      <c r="A102" s="107" t="s">
        <v>510</v>
      </c>
    </row>
    <row r="103" spans="1:11">
      <c r="D103" s="269" t="s">
        <v>679</v>
      </c>
    </row>
    <row r="104" spans="1:11">
      <c r="B104" s="158"/>
      <c r="E104" s="159"/>
      <c r="F104" s="159"/>
      <c r="G104" s="159"/>
      <c r="H104" s="159"/>
      <c r="I104" s="159"/>
      <c r="J104" s="159"/>
      <c r="K104" s="159"/>
    </row>
  </sheetData>
  <phoneticPr fontId="0" type="noConversion"/>
  <pageMargins left="0.66700000000000004" right="0.66700000000000004" top="0.66700000000000004" bottom="0.83299999999999996" header="0" footer="0"/>
  <pageSetup scale="68" firstPageNumber="28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49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2.140625" customWidth="1"/>
    <col min="2" max="10" width="12.7109375" customWidth="1"/>
  </cols>
  <sheetData>
    <row r="1" spans="1:11">
      <c r="A1" s="136" t="s">
        <v>634</v>
      </c>
      <c r="B1" s="1"/>
      <c r="C1" s="1"/>
      <c r="D1" s="1"/>
      <c r="E1" s="1"/>
      <c r="F1" s="1"/>
      <c r="G1" s="1"/>
      <c r="H1" s="1"/>
      <c r="I1" s="1"/>
      <c r="J1" s="1"/>
      <c r="K1" s="38"/>
    </row>
    <row r="2" spans="1:11">
      <c r="A2" t="s">
        <v>107</v>
      </c>
      <c r="B2" s="383"/>
      <c r="C2" s="299" t="s">
        <v>119</v>
      </c>
      <c r="D2" s="279"/>
      <c r="E2" s="279"/>
      <c r="F2" s="390"/>
      <c r="G2" s="279" t="s">
        <v>117</v>
      </c>
      <c r="H2" s="382"/>
      <c r="J2" s="279" t="s">
        <v>221</v>
      </c>
    </row>
    <row r="3" spans="1:11">
      <c r="A3" t="s">
        <v>100</v>
      </c>
      <c r="B3" s="364" t="s">
        <v>141</v>
      </c>
      <c r="C3" s="7" t="s">
        <v>66</v>
      </c>
      <c r="D3" s="173" t="s">
        <v>88</v>
      </c>
      <c r="E3" s="7" t="s">
        <v>3</v>
      </c>
      <c r="F3" s="364" t="s">
        <v>142</v>
      </c>
      <c r="G3" s="7" t="s">
        <v>90</v>
      </c>
      <c r="H3" s="378" t="s">
        <v>3</v>
      </c>
      <c r="I3" s="173" t="s">
        <v>143</v>
      </c>
      <c r="J3" s="7" t="s">
        <v>250</v>
      </c>
    </row>
    <row r="4" spans="1:11">
      <c r="A4" t="s">
        <v>140</v>
      </c>
      <c r="B4" s="364" t="s">
        <v>110</v>
      </c>
      <c r="C4" s="7"/>
      <c r="D4" s="7"/>
      <c r="E4" s="7"/>
      <c r="F4" s="364"/>
      <c r="G4" s="7"/>
      <c r="H4" s="367"/>
      <c r="I4" s="173" t="s">
        <v>110</v>
      </c>
      <c r="J4" s="7" t="s">
        <v>253</v>
      </c>
    </row>
    <row r="5" spans="1:11">
      <c r="A5" s="1"/>
      <c r="B5" s="371"/>
      <c r="C5" s="283"/>
      <c r="D5" s="283"/>
      <c r="E5" s="283"/>
      <c r="F5" s="371"/>
      <c r="G5" s="283"/>
      <c r="H5" s="369"/>
      <c r="I5" s="283"/>
      <c r="J5" s="283" t="s">
        <v>254</v>
      </c>
    </row>
    <row r="6" spans="1:11">
      <c r="C6" s="284"/>
      <c r="D6" s="284"/>
      <c r="E6" s="284"/>
      <c r="F6" s="328" t="s">
        <v>252</v>
      </c>
      <c r="G6" s="284"/>
      <c r="H6" s="284"/>
      <c r="I6" s="284"/>
      <c r="J6" s="7" t="s">
        <v>453</v>
      </c>
    </row>
    <row r="7" spans="1:11">
      <c r="B7" s="156"/>
      <c r="C7" s="156"/>
      <c r="D7" s="156"/>
      <c r="E7" s="156"/>
      <c r="F7" s="156"/>
      <c r="G7" s="156"/>
      <c r="H7" s="156"/>
      <c r="I7" s="156"/>
      <c r="J7" s="7"/>
    </row>
    <row r="8" spans="1:11">
      <c r="A8" s="10" t="s">
        <v>273</v>
      </c>
      <c r="B8" s="36">
        <v>121.9</v>
      </c>
      <c r="C8" s="36">
        <v>1191.1590000000001</v>
      </c>
      <c r="D8" s="36">
        <v>0</v>
      </c>
      <c r="E8" s="36">
        <f>SUM(B8:D8)</f>
        <v>1313.0590000000002</v>
      </c>
      <c r="F8" s="36">
        <f t="shared" ref="F8:F17" si="0">+H8-G8</f>
        <v>523.38700000000028</v>
      </c>
      <c r="G8" s="36">
        <v>709.678</v>
      </c>
      <c r="H8" s="36">
        <f t="shared" ref="H8:H46" si="1">+E8-I8</f>
        <v>1233.0650000000003</v>
      </c>
      <c r="I8" s="36">
        <v>79.994</v>
      </c>
      <c r="J8" s="31">
        <v>25.855000000000004</v>
      </c>
      <c r="K8" s="36"/>
    </row>
    <row r="9" spans="1:11">
      <c r="A9" s="10" t="s">
        <v>274</v>
      </c>
      <c r="B9" s="36">
        <f t="shared" ref="B9:B27" si="2">+I8</f>
        <v>79.994</v>
      </c>
      <c r="C9" s="36">
        <v>1551.3409999999999</v>
      </c>
      <c r="D9" s="36">
        <v>0</v>
      </c>
      <c r="E9" s="36">
        <f t="shared" ref="E9:E31" si="3">SUM(B9:D9)</f>
        <v>1631.3349999999998</v>
      </c>
      <c r="F9" s="36">
        <f t="shared" si="0"/>
        <v>680.2249999999998</v>
      </c>
      <c r="G9" s="36">
        <v>847.50400000000002</v>
      </c>
      <c r="H9" s="36">
        <f t="shared" si="1"/>
        <v>1527.7289999999998</v>
      </c>
      <c r="I9" s="36">
        <v>103.60599999999999</v>
      </c>
      <c r="J9" s="31">
        <v>20.064999999999998</v>
      </c>
      <c r="K9" s="36"/>
    </row>
    <row r="10" spans="1:11">
      <c r="A10" s="10" t="s">
        <v>275</v>
      </c>
      <c r="B10" s="36">
        <f t="shared" si="2"/>
        <v>103.60599999999999</v>
      </c>
      <c r="C10" s="36">
        <v>1133.414</v>
      </c>
      <c r="D10" s="36">
        <v>2</v>
      </c>
      <c r="E10" s="36">
        <f t="shared" si="3"/>
        <v>1239.02</v>
      </c>
      <c r="F10" s="36">
        <f t="shared" si="0"/>
        <v>603.89699999999993</v>
      </c>
      <c r="G10" s="36">
        <v>545.56700000000001</v>
      </c>
      <c r="H10" s="36">
        <f t="shared" si="1"/>
        <v>1149.4639999999999</v>
      </c>
      <c r="I10" s="36">
        <v>89.555999999999997</v>
      </c>
      <c r="J10" s="31">
        <v>21.818333333333332</v>
      </c>
      <c r="K10" s="36"/>
    </row>
    <row r="11" spans="1:11">
      <c r="A11" s="10" t="s">
        <v>276</v>
      </c>
      <c r="B11" s="36">
        <f t="shared" si="2"/>
        <v>89.555999999999997</v>
      </c>
      <c r="C11" s="36">
        <v>776.60199999999998</v>
      </c>
      <c r="D11" s="36">
        <v>18</v>
      </c>
      <c r="E11" s="36">
        <f t="shared" si="3"/>
        <v>884.15800000000002</v>
      </c>
      <c r="F11" s="36">
        <f t="shared" si="0"/>
        <v>531.57400000000007</v>
      </c>
      <c r="G11" s="36">
        <v>302.81</v>
      </c>
      <c r="H11" s="36">
        <f t="shared" si="1"/>
        <v>834.38400000000001</v>
      </c>
      <c r="I11" s="36">
        <v>49.774000000000001</v>
      </c>
      <c r="J11" s="31">
        <v>32.791666666666664</v>
      </c>
      <c r="K11" s="36"/>
    </row>
    <row r="12" spans="1:11">
      <c r="A12" s="10" t="s">
        <v>277</v>
      </c>
      <c r="B12" s="36">
        <f t="shared" si="2"/>
        <v>49.774000000000001</v>
      </c>
      <c r="C12" s="36">
        <v>1174.1199999999999</v>
      </c>
      <c r="D12" s="36">
        <v>0</v>
      </c>
      <c r="E12" s="36">
        <f t="shared" si="3"/>
        <v>1223.8939999999998</v>
      </c>
      <c r="F12" s="36">
        <f t="shared" si="0"/>
        <v>684.86599999999976</v>
      </c>
      <c r="G12" s="36">
        <v>432.15199999999999</v>
      </c>
      <c r="H12" s="36">
        <f t="shared" si="1"/>
        <v>1117.0179999999998</v>
      </c>
      <c r="I12" s="36">
        <v>106.876</v>
      </c>
      <c r="J12" s="31">
        <v>29.158333333333335</v>
      </c>
      <c r="K12" s="36"/>
    </row>
    <row r="13" spans="1:11">
      <c r="A13" s="10" t="s">
        <v>278</v>
      </c>
      <c r="B13" s="36">
        <f t="shared" si="2"/>
        <v>106.876</v>
      </c>
      <c r="C13" s="36">
        <v>1069.7639999999999</v>
      </c>
      <c r="D13" s="36">
        <v>0</v>
      </c>
      <c r="E13" s="36">
        <f t="shared" si="3"/>
        <v>1176.6399999999999</v>
      </c>
      <c r="F13" s="36">
        <f t="shared" si="0"/>
        <v>658.22299999999996</v>
      </c>
      <c r="G13" s="36">
        <v>433.49200000000002</v>
      </c>
      <c r="H13" s="36">
        <f t="shared" si="1"/>
        <v>1091.7149999999999</v>
      </c>
      <c r="I13" s="36">
        <v>84.924999999999997</v>
      </c>
      <c r="J13" s="31">
        <v>17.595833333333335</v>
      </c>
      <c r="K13" s="36"/>
    </row>
    <row r="14" spans="1:11">
      <c r="A14" s="10" t="s">
        <v>279</v>
      </c>
      <c r="B14" s="36">
        <f t="shared" si="2"/>
        <v>84.924999999999997</v>
      </c>
      <c r="C14" s="36">
        <v>780.98900000000003</v>
      </c>
      <c r="D14" s="36">
        <v>11.157</v>
      </c>
      <c r="E14" s="36">
        <f t="shared" si="3"/>
        <v>877.07100000000003</v>
      </c>
      <c r="F14" s="36">
        <f t="shared" si="0"/>
        <v>572.654</v>
      </c>
      <c r="G14" s="36">
        <v>214.226</v>
      </c>
      <c r="H14" s="36">
        <f t="shared" si="1"/>
        <v>786.88</v>
      </c>
      <c r="I14" s="36">
        <v>90.191000000000003</v>
      </c>
      <c r="J14" s="31">
        <v>17.714166666666667</v>
      </c>
      <c r="K14" s="36"/>
    </row>
    <row r="15" spans="1:11">
      <c r="A15" s="10" t="s">
        <v>280</v>
      </c>
      <c r="B15" s="36">
        <f t="shared" si="2"/>
        <v>90.191000000000003</v>
      </c>
      <c r="C15" s="36">
        <v>1203.7650000000001</v>
      </c>
      <c r="D15" s="36">
        <v>25.498999999999999</v>
      </c>
      <c r="E15" s="36">
        <f t="shared" si="3"/>
        <v>1319.4550000000002</v>
      </c>
      <c r="F15" s="36">
        <f t="shared" si="0"/>
        <v>750.43900000000031</v>
      </c>
      <c r="G15" s="36">
        <v>408.59</v>
      </c>
      <c r="H15" s="36">
        <f t="shared" si="1"/>
        <v>1159.0290000000002</v>
      </c>
      <c r="I15" s="36">
        <v>160.42599999999999</v>
      </c>
      <c r="J15" s="31">
        <v>21.831666666666667</v>
      </c>
      <c r="K15" s="36"/>
    </row>
    <row r="16" spans="1:11">
      <c r="A16" s="10" t="s">
        <v>281</v>
      </c>
      <c r="B16" s="36">
        <f t="shared" si="2"/>
        <v>160.42599999999999</v>
      </c>
      <c r="C16" s="36">
        <v>1242.451</v>
      </c>
      <c r="D16" s="36">
        <v>0.1111129488</v>
      </c>
      <c r="E16" s="36">
        <f t="shared" si="3"/>
        <v>1402.9881129487999</v>
      </c>
      <c r="F16" s="36">
        <f t="shared" si="0"/>
        <v>849.13011294879993</v>
      </c>
      <c r="G16" s="36">
        <v>406.55799999999999</v>
      </c>
      <c r="H16" s="36">
        <f t="shared" si="1"/>
        <v>1255.6881129487999</v>
      </c>
      <c r="I16" s="36">
        <v>147.30000000000001</v>
      </c>
      <c r="J16" s="31">
        <v>19.930833333333332</v>
      </c>
      <c r="K16" s="36"/>
    </row>
    <row r="17" spans="1:11">
      <c r="A17" s="10" t="s">
        <v>9</v>
      </c>
      <c r="B17" s="36">
        <f t="shared" si="2"/>
        <v>147.30000000000001</v>
      </c>
      <c r="C17" s="36">
        <v>1039.5170000000001</v>
      </c>
      <c r="D17" s="36">
        <v>12.63792947634</v>
      </c>
      <c r="E17" s="36">
        <f t="shared" si="3"/>
        <v>1199.4549294763401</v>
      </c>
      <c r="F17" s="36">
        <f t="shared" si="0"/>
        <v>783.10084141035202</v>
      </c>
      <c r="G17" s="36">
        <v>335.954088065988</v>
      </c>
      <c r="H17" s="36">
        <f t="shared" si="1"/>
        <v>1119.05492947634</v>
      </c>
      <c r="I17" s="36">
        <v>80.400000000000006</v>
      </c>
      <c r="J17" s="31">
        <v>23.035833333333333</v>
      </c>
      <c r="K17" s="36"/>
    </row>
    <row r="18" spans="1:11">
      <c r="A18" s="10" t="s">
        <v>10</v>
      </c>
      <c r="B18" s="36">
        <f t="shared" si="2"/>
        <v>80.400000000000006</v>
      </c>
      <c r="C18" s="36">
        <v>1153.893</v>
      </c>
      <c r="D18" s="36">
        <v>3.4392918910140002</v>
      </c>
      <c r="E18" s="36">
        <f t="shared" si="3"/>
        <v>1237.732291891014</v>
      </c>
      <c r="F18" s="36">
        <f>+H18-G18</f>
        <v>865.98386409934392</v>
      </c>
      <c r="G18" s="36">
        <v>234.84842779167002</v>
      </c>
      <c r="H18" s="36">
        <f t="shared" si="1"/>
        <v>1100.8322918910139</v>
      </c>
      <c r="I18" s="36">
        <v>136.9</v>
      </c>
      <c r="J18" s="31">
        <v>22.321666666666669</v>
      </c>
      <c r="K18" s="36"/>
    </row>
    <row r="19" spans="1:11">
      <c r="A19" s="10" t="s">
        <v>11</v>
      </c>
      <c r="B19" s="36">
        <f t="shared" si="2"/>
        <v>136.9</v>
      </c>
      <c r="C19" s="36">
        <v>1279.5</v>
      </c>
      <c r="D19" s="36">
        <v>17.819313671753999</v>
      </c>
      <c r="E19" s="36">
        <f t="shared" si="3"/>
        <v>1434.219313671754</v>
      </c>
      <c r="F19" s="36">
        <f t="shared" ref="F19:F27" si="4">+H19-G19</f>
        <v>1087.522605605498</v>
      </c>
      <c r="G19" s="36">
        <v>269.0967080662561</v>
      </c>
      <c r="H19" s="36">
        <f t="shared" si="1"/>
        <v>1356.6193136717541</v>
      </c>
      <c r="I19" s="36">
        <v>77.599999999999994</v>
      </c>
      <c r="J19" s="31">
        <v>20.002500000000001</v>
      </c>
      <c r="K19" s="36"/>
    </row>
    <row r="20" spans="1:11">
      <c r="A20" s="10" t="s">
        <v>12</v>
      </c>
      <c r="B20" s="36">
        <f t="shared" si="2"/>
        <v>77.599999999999994</v>
      </c>
      <c r="C20" s="36">
        <v>1125.5</v>
      </c>
      <c r="D20" s="36">
        <v>37.672585145244007</v>
      </c>
      <c r="E20" s="36">
        <f t="shared" si="3"/>
        <v>1240.772585145244</v>
      </c>
      <c r="F20" s="36">
        <f t="shared" si="4"/>
        <v>975.4497637159659</v>
      </c>
      <c r="G20" s="36">
        <v>184.32282142927804</v>
      </c>
      <c r="H20" s="36">
        <f t="shared" si="1"/>
        <v>1159.772585145244</v>
      </c>
      <c r="I20" s="36">
        <v>81</v>
      </c>
      <c r="J20" s="31">
        <v>24.965000000000003</v>
      </c>
      <c r="K20" s="36"/>
    </row>
    <row r="21" spans="1:11">
      <c r="A21" s="10" t="s">
        <v>13</v>
      </c>
      <c r="B21" s="36">
        <f t="shared" si="2"/>
        <v>81</v>
      </c>
      <c r="C21" s="36">
        <v>1118.865</v>
      </c>
      <c r="D21" s="36">
        <v>26.286999999999999</v>
      </c>
      <c r="E21" s="36">
        <f t="shared" si="3"/>
        <v>1226.152</v>
      </c>
      <c r="F21" s="36">
        <f t="shared" si="4"/>
        <v>872.73199999999997</v>
      </c>
      <c r="G21" s="36">
        <v>247.828</v>
      </c>
      <c r="H21" s="36">
        <f t="shared" si="1"/>
        <v>1120.56</v>
      </c>
      <c r="I21" s="36">
        <v>105.592</v>
      </c>
      <c r="J21" s="31">
        <v>27.759999999999994</v>
      </c>
      <c r="K21" s="36"/>
    </row>
    <row r="22" spans="1:11">
      <c r="A22" s="10" t="s">
        <v>14</v>
      </c>
      <c r="B22" s="36">
        <f t="shared" si="2"/>
        <v>105.592</v>
      </c>
      <c r="C22" s="36">
        <v>1311.5060000000001</v>
      </c>
      <c r="D22" s="36">
        <v>0.188</v>
      </c>
      <c r="E22" s="36">
        <f t="shared" si="3"/>
        <v>1417.2860000000003</v>
      </c>
      <c r="F22" s="36">
        <f t="shared" si="4"/>
        <v>1006.5010000000003</v>
      </c>
      <c r="G22" s="36">
        <v>328.65899999999999</v>
      </c>
      <c r="H22" s="36">
        <f t="shared" si="1"/>
        <v>1335.1600000000003</v>
      </c>
      <c r="I22" s="36">
        <v>82.126000000000005</v>
      </c>
      <c r="J22" s="31">
        <v>27.870000000000005</v>
      </c>
      <c r="K22" s="36"/>
    </row>
    <row r="23" spans="1:11">
      <c r="A23" s="10" t="s">
        <v>15</v>
      </c>
      <c r="B23" s="36">
        <f t="shared" si="2"/>
        <v>82.126000000000005</v>
      </c>
      <c r="C23" s="36">
        <v>1228.7670000000001</v>
      </c>
      <c r="D23" s="36">
        <v>0.26202300000000001</v>
      </c>
      <c r="E23" s="36">
        <f t="shared" si="3"/>
        <v>1311.155023</v>
      </c>
      <c r="F23" s="36">
        <f t="shared" si="4"/>
        <v>995.78702299999998</v>
      </c>
      <c r="G23" s="36">
        <v>221.23599999999999</v>
      </c>
      <c r="H23" s="36">
        <f t="shared" si="1"/>
        <v>1217.023023</v>
      </c>
      <c r="I23" s="36">
        <v>94.132000000000005</v>
      </c>
      <c r="J23" s="31">
        <v>26.515833333333333</v>
      </c>
      <c r="K23" s="36"/>
    </row>
    <row r="24" spans="1:11">
      <c r="A24" s="10" t="s">
        <v>16</v>
      </c>
      <c r="B24" s="36">
        <f t="shared" si="2"/>
        <v>94.132000000000005</v>
      </c>
      <c r="C24" s="36">
        <v>1215.788</v>
      </c>
      <c r="D24" s="36">
        <v>0.251</v>
      </c>
      <c r="E24" s="36">
        <f t="shared" si="3"/>
        <v>1310.171</v>
      </c>
      <c r="F24" s="36">
        <f t="shared" si="4"/>
        <v>1011.6170000000002</v>
      </c>
      <c r="G24" s="36">
        <v>232.14699999999999</v>
      </c>
      <c r="H24" s="36">
        <f t="shared" si="1"/>
        <v>1243.7640000000001</v>
      </c>
      <c r="I24" s="36">
        <v>66.406999999999996</v>
      </c>
      <c r="J24" s="31">
        <v>25.577499999999997</v>
      </c>
      <c r="K24" s="36"/>
    </row>
    <row r="25" spans="1:11">
      <c r="A25" s="10" t="s">
        <v>17</v>
      </c>
      <c r="B25" s="36">
        <f t="shared" si="2"/>
        <v>66.406999999999996</v>
      </c>
      <c r="C25" s="36">
        <v>1224.075</v>
      </c>
      <c r="D25" s="36">
        <v>5.7915987544000007E-2</v>
      </c>
      <c r="E25" s="36">
        <f t="shared" si="3"/>
        <v>1290.539915987544</v>
      </c>
      <c r="F25" s="36">
        <f t="shared" si="4"/>
        <v>1004.119670018994</v>
      </c>
      <c r="G25" s="36">
        <v>207.81224596855</v>
      </c>
      <c r="H25" s="36">
        <f t="shared" si="1"/>
        <v>1211.931915987544</v>
      </c>
      <c r="I25" s="36">
        <v>78.608000000000004</v>
      </c>
      <c r="J25" s="31">
        <v>29.889166666666664</v>
      </c>
      <c r="K25" s="36"/>
    </row>
    <row r="26" spans="1:11">
      <c r="A26" s="10" t="s">
        <v>18</v>
      </c>
      <c r="B26" s="36">
        <f t="shared" si="2"/>
        <v>78.608000000000004</v>
      </c>
      <c r="C26" s="36">
        <v>831.69799999999998</v>
      </c>
      <c r="D26" s="36">
        <v>48.183014708388001</v>
      </c>
      <c r="E26" s="36">
        <f t="shared" si="3"/>
        <v>958.48901470838803</v>
      </c>
      <c r="F26" s="36">
        <f t="shared" si="4"/>
        <v>771.83058711065007</v>
      </c>
      <c r="G26" s="36">
        <v>110.65742759773799</v>
      </c>
      <c r="H26" s="36">
        <f t="shared" si="1"/>
        <v>882.48801470838805</v>
      </c>
      <c r="I26" s="36">
        <v>76.001000000000005</v>
      </c>
      <c r="J26" s="31">
        <v>27.324166666666667</v>
      </c>
      <c r="K26" s="36"/>
    </row>
    <row r="27" spans="1:11">
      <c r="A27" s="10" t="s">
        <v>19</v>
      </c>
      <c r="B27" s="36">
        <f t="shared" si="2"/>
        <v>76.001000000000005</v>
      </c>
      <c r="C27" s="36">
        <v>939.19299999999998</v>
      </c>
      <c r="D27" s="36">
        <v>8.0656206101100008</v>
      </c>
      <c r="E27" s="36">
        <f t="shared" si="3"/>
        <v>1023.25962061011</v>
      </c>
      <c r="F27" s="36">
        <f t="shared" si="4"/>
        <v>832.78599363538797</v>
      </c>
      <c r="G27" s="36">
        <v>141.48062697472199</v>
      </c>
      <c r="H27" s="36">
        <f t="shared" si="1"/>
        <v>974.26662061010995</v>
      </c>
      <c r="I27" s="36">
        <v>48.993000000000002</v>
      </c>
      <c r="J27" s="31">
        <v>21.518333333333331</v>
      </c>
      <c r="K27" s="36"/>
    </row>
    <row r="28" spans="1:11">
      <c r="A28" s="62" t="s">
        <v>337</v>
      </c>
      <c r="B28" s="74">
        <f t="shared" ref="B28:B33" si="5">+I27</f>
        <v>48.993000000000002</v>
      </c>
      <c r="C28" s="74">
        <v>846.8</v>
      </c>
      <c r="D28" s="74">
        <v>0.2695150395</v>
      </c>
      <c r="E28" s="36">
        <f t="shared" si="3"/>
        <v>896.0625150395</v>
      </c>
      <c r="F28" s="74">
        <f t="shared" ref="F28:F33" si="6">+H28-G28</f>
        <v>672.02830055291588</v>
      </c>
      <c r="G28" s="74">
        <v>131.01621448658403</v>
      </c>
      <c r="H28" s="74">
        <f t="shared" si="1"/>
        <v>803.04451503949997</v>
      </c>
      <c r="I28" s="74">
        <v>93.018000000000001</v>
      </c>
      <c r="J28" s="31">
        <v>15.981666666666667</v>
      </c>
      <c r="K28" s="36"/>
    </row>
    <row r="29" spans="1:11">
      <c r="A29" s="62" t="s">
        <v>341</v>
      </c>
      <c r="B29" s="36">
        <f t="shared" si="5"/>
        <v>93.018000000000001</v>
      </c>
      <c r="C29" s="36">
        <v>876.23099999999999</v>
      </c>
      <c r="D29" s="36">
        <v>0.12749329026</v>
      </c>
      <c r="E29" s="36">
        <f t="shared" si="3"/>
        <v>969.37649329025999</v>
      </c>
      <c r="F29" s="36">
        <f t="shared" si="6"/>
        <v>779.70969033625204</v>
      </c>
      <c r="G29" s="36">
        <v>150.17480295400799</v>
      </c>
      <c r="H29" s="36">
        <f t="shared" si="1"/>
        <v>929.88449329026002</v>
      </c>
      <c r="I29" s="36">
        <v>39.491999999999997</v>
      </c>
      <c r="J29" s="31">
        <v>17.984166666666663</v>
      </c>
      <c r="K29" s="36"/>
    </row>
    <row r="30" spans="1:11">
      <c r="A30" s="62" t="s">
        <v>353</v>
      </c>
      <c r="B30" s="36">
        <f t="shared" si="5"/>
        <v>39.491999999999997</v>
      </c>
      <c r="C30" s="36">
        <v>725.13099999999997</v>
      </c>
      <c r="D30" s="36">
        <v>21.442828186332001</v>
      </c>
      <c r="E30" s="36">
        <f t="shared" si="3"/>
        <v>786.06582818633194</v>
      </c>
      <c r="F30" s="36">
        <f t="shared" si="6"/>
        <v>638.8989943723559</v>
      </c>
      <c r="G30" s="36">
        <v>110.23883381397599</v>
      </c>
      <c r="H30" s="36">
        <f t="shared" si="1"/>
        <v>749.13782818633194</v>
      </c>
      <c r="I30" s="36">
        <v>36.927999999999997</v>
      </c>
      <c r="J30" s="31">
        <v>37.74916666666666</v>
      </c>
      <c r="K30" s="36"/>
    </row>
    <row r="31" spans="1:11">
      <c r="A31" s="62" t="s">
        <v>364</v>
      </c>
      <c r="B31" s="36">
        <f t="shared" si="5"/>
        <v>36.927999999999997</v>
      </c>
      <c r="C31" s="36">
        <v>873.67899999999997</v>
      </c>
      <c r="D31" s="36">
        <v>0.20212194958199997</v>
      </c>
      <c r="E31" s="36">
        <f t="shared" si="3"/>
        <v>910.80912194958194</v>
      </c>
      <c r="F31" s="36">
        <f t="shared" si="6"/>
        <v>690.91212968108596</v>
      </c>
      <c r="G31" s="36">
        <v>110.86199226849601</v>
      </c>
      <c r="H31" s="36">
        <f t="shared" si="1"/>
        <v>801.77412194958197</v>
      </c>
      <c r="I31" s="36">
        <v>109.035</v>
      </c>
      <c r="J31" s="31">
        <v>31.206666666666674</v>
      </c>
      <c r="K31" s="36"/>
    </row>
    <row r="32" spans="1:11">
      <c r="A32" s="62" t="s">
        <v>366</v>
      </c>
      <c r="B32" s="36">
        <f t="shared" si="5"/>
        <v>109.035</v>
      </c>
      <c r="C32" s="36">
        <v>957.03700000000003</v>
      </c>
      <c r="D32" s="36">
        <v>1.621691283114</v>
      </c>
      <c r="E32" s="36">
        <f t="shared" ref="E32:E37" si="7">SUM(B32:D32)</f>
        <v>1067.693691283114</v>
      </c>
      <c r="F32" s="36">
        <f t="shared" si="6"/>
        <v>934.60530939473404</v>
      </c>
      <c r="G32" s="36">
        <v>56.734381888380007</v>
      </c>
      <c r="H32" s="36">
        <f t="shared" si="1"/>
        <v>991.33969128311401</v>
      </c>
      <c r="I32" s="36">
        <v>76.353999999999999</v>
      </c>
      <c r="J32" s="31">
        <v>28.008124999999996</v>
      </c>
      <c r="K32" s="36"/>
    </row>
    <row r="33" spans="1:11">
      <c r="A33" s="62" t="s">
        <v>385</v>
      </c>
      <c r="B33" s="36">
        <f t="shared" si="5"/>
        <v>76.353999999999999</v>
      </c>
      <c r="C33" s="36">
        <v>950.572</v>
      </c>
      <c r="D33" s="36">
        <v>1.4005368318060001</v>
      </c>
      <c r="E33" s="36">
        <f t="shared" si="7"/>
        <v>1028.3265368318059</v>
      </c>
      <c r="F33" s="36">
        <f t="shared" si="6"/>
        <v>859.72269348941802</v>
      </c>
      <c r="G33" s="36">
        <v>67.466843342387989</v>
      </c>
      <c r="H33" s="36">
        <f t="shared" si="1"/>
        <v>927.18953683180598</v>
      </c>
      <c r="I33" s="36">
        <v>101.137</v>
      </c>
      <c r="J33" s="31">
        <v>29.465</v>
      </c>
      <c r="K33" s="36"/>
    </row>
    <row r="34" spans="1:11">
      <c r="A34" s="62" t="s">
        <v>400</v>
      </c>
      <c r="B34" s="36">
        <f t="shared" ref="B34:B39" si="8">+I33</f>
        <v>101.137</v>
      </c>
      <c r="C34" s="36">
        <v>848.70311000000004</v>
      </c>
      <c r="D34" s="36">
        <v>1.317682727802</v>
      </c>
      <c r="E34" s="36">
        <f t="shared" si="7"/>
        <v>951.15779272780208</v>
      </c>
      <c r="F34" s="36">
        <f t="shared" ref="F34:F43" si="9">+H34-G34</f>
        <v>713.9124309085521</v>
      </c>
      <c r="G34" s="36">
        <v>137.81836181925001</v>
      </c>
      <c r="H34" s="36">
        <f t="shared" si="1"/>
        <v>851.73079272780205</v>
      </c>
      <c r="I34" s="36">
        <v>99.427000000000007</v>
      </c>
      <c r="J34" s="31">
        <v>35.700833333333328</v>
      </c>
      <c r="K34" s="36"/>
    </row>
    <row r="35" spans="1:11">
      <c r="A35" s="62" t="s">
        <v>404</v>
      </c>
      <c r="B35" s="36">
        <f t="shared" si="8"/>
        <v>99.427000000000007</v>
      </c>
      <c r="C35" s="36">
        <v>856.2844399999999</v>
      </c>
      <c r="D35" s="36">
        <v>5.0926768200000002E-3</v>
      </c>
      <c r="E35" s="36">
        <f t="shared" si="7"/>
        <v>955.71653267681995</v>
      </c>
      <c r="F35" s="36">
        <f t="shared" si="9"/>
        <v>622.62017890968195</v>
      </c>
      <c r="G35" s="36">
        <v>186.49135376713801</v>
      </c>
      <c r="H35" s="36">
        <f t="shared" si="1"/>
        <v>809.11153267681993</v>
      </c>
      <c r="I35" s="36">
        <v>146.60499999999999</v>
      </c>
      <c r="J35" s="31">
        <v>73.553124999999994</v>
      </c>
      <c r="K35" s="36"/>
    </row>
    <row r="36" spans="1:11">
      <c r="A36" s="62" t="s">
        <v>411</v>
      </c>
      <c r="B36" s="36">
        <f t="shared" si="8"/>
        <v>146.60499999999999</v>
      </c>
      <c r="C36" s="36">
        <v>668.67881000000011</v>
      </c>
      <c r="D36" s="36">
        <v>9.5998060368000002E-2</v>
      </c>
      <c r="E36" s="36">
        <f t="shared" si="7"/>
        <v>815.37980806036808</v>
      </c>
      <c r="F36" s="36">
        <f t="shared" si="9"/>
        <v>502.05297804131203</v>
      </c>
      <c r="G36" s="36">
        <v>192.22683001905602</v>
      </c>
      <c r="H36" s="36">
        <f t="shared" si="1"/>
        <v>694.27980806036805</v>
      </c>
      <c r="I36" s="36">
        <v>121.1</v>
      </c>
      <c r="J36" s="31">
        <v>37.096875000000004</v>
      </c>
      <c r="K36" s="36"/>
    </row>
    <row r="37" spans="1:11">
      <c r="A37" s="115" t="s">
        <v>417</v>
      </c>
      <c r="B37" s="36">
        <f t="shared" si="8"/>
        <v>121.1</v>
      </c>
      <c r="C37" s="36">
        <v>617.29017999999996</v>
      </c>
      <c r="D37" s="36">
        <v>9.9728280791999996E-2</v>
      </c>
      <c r="E37" s="36">
        <f t="shared" si="7"/>
        <v>738.48990828079195</v>
      </c>
      <c r="F37" s="36">
        <f t="shared" si="9"/>
        <v>551.92322662066999</v>
      </c>
      <c r="G37" s="36">
        <v>94.027681660121999</v>
      </c>
      <c r="H37" s="36">
        <f t="shared" si="1"/>
        <v>645.95090828079196</v>
      </c>
      <c r="I37" s="36">
        <v>92.539000000000001</v>
      </c>
      <c r="J37" s="31">
        <v>40.270833333333336</v>
      </c>
      <c r="K37" s="36"/>
    </row>
    <row r="38" spans="1:11">
      <c r="A38" s="115" t="s">
        <v>420</v>
      </c>
      <c r="B38" s="36">
        <f t="shared" si="8"/>
        <v>92.539000000000001</v>
      </c>
      <c r="C38" s="36">
        <v>835</v>
      </c>
      <c r="D38" s="36">
        <v>0.20214620042399997</v>
      </c>
      <c r="E38" s="36">
        <f t="shared" ref="E38:E43" si="10">SUM(B38:D38)</f>
        <v>927.74114620042394</v>
      </c>
      <c r="F38" s="36">
        <f t="shared" si="9"/>
        <v>599.50524319104193</v>
      </c>
      <c r="G38" s="36">
        <v>163.23590300938201</v>
      </c>
      <c r="H38" s="36">
        <f t="shared" si="1"/>
        <v>762.74114620042394</v>
      </c>
      <c r="I38" s="36">
        <v>165</v>
      </c>
      <c r="J38" s="31">
        <v>54.5</v>
      </c>
      <c r="K38" s="36"/>
    </row>
    <row r="39" spans="1:11">
      <c r="A39" s="115" t="s">
        <v>425</v>
      </c>
      <c r="B39" s="36">
        <f t="shared" si="8"/>
        <v>165</v>
      </c>
      <c r="C39" s="36">
        <v>755</v>
      </c>
      <c r="D39" s="36">
        <v>10.347106756139999</v>
      </c>
      <c r="E39" s="36">
        <f t="shared" si="10"/>
        <v>930.34710675613997</v>
      </c>
      <c r="F39" s="36">
        <f t="shared" si="9"/>
        <v>571.61889468866798</v>
      </c>
      <c r="G39" s="36">
        <v>258.72821206747204</v>
      </c>
      <c r="H39" s="36">
        <f t="shared" si="1"/>
        <v>830.34710675613997</v>
      </c>
      <c r="I39" s="36">
        <v>100</v>
      </c>
      <c r="J39" s="31">
        <v>53.22</v>
      </c>
      <c r="K39" s="36"/>
    </row>
    <row r="40" spans="1:11">
      <c r="A40" s="115" t="s">
        <v>465</v>
      </c>
      <c r="B40" s="36">
        <f t="shared" ref="B40:B45" si="11">+I39</f>
        <v>100</v>
      </c>
      <c r="C40" s="36">
        <v>800</v>
      </c>
      <c r="D40" s="36">
        <v>19.917408336714001</v>
      </c>
      <c r="E40" s="36">
        <f t="shared" si="10"/>
        <v>919.91740833671395</v>
      </c>
      <c r="F40" s="36">
        <f t="shared" si="9"/>
        <v>584.25441577419792</v>
      </c>
      <c r="G40" s="36">
        <v>220.66299256251602</v>
      </c>
      <c r="H40" s="36">
        <f t="shared" si="1"/>
        <v>804.91740833671395</v>
      </c>
      <c r="I40" s="36">
        <v>115</v>
      </c>
      <c r="J40" s="31">
        <v>48.6</v>
      </c>
      <c r="K40" s="36"/>
    </row>
    <row r="41" spans="1:11">
      <c r="A41" s="115" t="s">
        <v>464</v>
      </c>
      <c r="B41" s="36">
        <f t="shared" si="11"/>
        <v>115</v>
      </c>
      <c r="C41" s="36">
        <v>630</v>
      </c>
      <c r="D41" s="36">
        <v>31.952836666674003</v>
      </c>
      <c r="E41" s="36">
        <f t="shared" si="10"/>
        <v>776.95283666667399</v>
      </c>
      <c r="F41" s="36">
        <f t="shared" si="9"/>
        <v>538.54962385942599</v>
      </c>
      <c r="G41" s="36">
        <v>148.403212807248</v>
      </c>
      <c r="H41" s="36">
        <f t="shared" si="1"/>
        <v>686.95283666667399</v>
      </c>
      <c r="I41" s="36">
        <v>90</v>
      </c>
      <c r="J41" s="31">
        <v>60.66</v>
      </c>
      <c r="K41" s="36"/>
    </row>
    <row r="42" spans="1:11">
      <c r="A42" s="115" t="s">
        <v>492</v>
      </c>
      <c r="B42" s="36">
        <f t="shared" si="11"/>
        <v>90</v>
      </c>
      <c r="C42" s="201">
        <v>610</v>
      </c>
      <c r="D42" s="201">
        <v>17.423747164782</v>
      </c>
      <c r="E42" s="36">
        <f t="shared" si="10"/>
        <v>717.42374716478196</v>
      </c>
      <c r="F42" s="36">
        <f t="shared" si="9"/>
        <v>540.92412416890193</v>
      </c>
      <c r="G42" s="201">
        <v>118.49962299588</v>
      </c>
      <c r="H42" s="36">
        <f t="shared" si="1"/>
        <v>659.42374716478196</v>
      </c>
      <c r="I42" s="201">
        <v>58</v>
      </c>
      <c r="J42" s="206">
        <v>45.74</v>
      </c>
      <c r="K42" s="36"/>
    </row>
    <row r="43" spans="1:11">
      <c r="A43" s="115" t="s">
        <v>495</v>
      </c>
      <c r="B43" s="36">
        <f t="shared" si="11"/>
        <v>58</v>
      </c>
      <c r="C43" s="201">
        <v>465</v>
      </c>
      <c r="D43" s="201">
        <v>6.6169480615559984</v>
      </c>
      <c r="E43" s="36">
        <f t="shared" si="10"/>
        <v>529.61694806155595</v>
      </c>
      <c r="F43" s="36">
        <f t="shared" si="9"/>
        <v>433.2408137333079</v>
      </c>
      <c r="G43" s="201">
        <v>54.82913432824801</v>
      </c>
      <c r="H43" s="36">
        <f t="shared" si="1"/>
        <v>488.06994806155592</v>
      </c>
      <c r="I43" s="201">
        <v>41.546999999999997</v>
      </c>
      <c r="J43" s="206">
        <v>45.87</v>
      </c>
      <c r="K43" s="36"/>
    </row>
    <row r="44" spans="1:11">
      <c r="A44" s="115" t="s">
        <v>575</v>
      </c>
      <c r="B44" s="36">
        <f t="shared" si="11"/>
        <v>41.546999999999997</v>
      </c>
      <c r="C44" s="201">
        <v>541.625</v>
      </c>
      <c r="D44" s="201">
        <v>0.121953075174</v>
      </c>
      <c r="E44" s="36">
        <f>SUM(B44:D44)</f>
        <v>583.29395307517404</v>
      </c>
      <c r="F44" s="36">
        <f>+H44-G44</f>
        <v>435.17942153772003</v>
      </c>
      <c r="G44" s="201">
        <v>103.98553153745401</v>
      </c>
      <c r="H44" s="36">
        <f t="shared" si="1"/>
        <v>539.16495307517403</v>
      </c>
      <c r="I44" s="201">
        <v>44.128999999999998</v>
      </c>
      <c r="J44" s="206">
        <v>40.923958333333339</v>
      </c>
      <c r="K44" s="36"/>
    </row>
    <row r="45" spans="1:11">
      <c r="A45" s="129" t="s">
        <v>569</v>
      </c>
      <c r="B45" s="74">
        <f t="shared" si="11"/>
        <v>44.128999999999998</v>
      </c>
      <c r="C45" s="200">
        <v>561.29999999999995</v>
      </c>
      <c r="D45" s="200">
        <v>0.1608</v>
      </c>
      <c r="E45" s="74">
        <f>SUM(B45:D45)</f>
        <v>605.58979999999997</v>
      </c>
      <c r="F45" s="74">
        <f>+H45-G45</f>
        <v>461.68279999999999</v>
      </c>
      <c r="G45" s="200">
        <v>111.82</v>
      </c>
      <c r="H45" s="74">
        <f t="shared" si="1"/>
        <v>573.50279999999998</v>
      </c>
      <c r="I45" s="200">
        <v>32.087000000000003</v>
      </c>
      <c r="J45" s="206">
        <v>31.87</v>
      </c>
      <c r="K45" s="36"/>
    </row>
    <row r="46" spans="1:11">
      <c r="A46" s="136" t="s">
        <v>628</v>
      </c>
      <c r="B46" s="37">
        <f>+I45</f>
        <v>32.087000000000003</v>
      </c>
      <c r="C46" s="199">
        <v>590</v>
      </c>
      <c r="D46" s="199">
        <v>1</v>
      </c>
      <c r="E46" s="37">
        <f>SUM(B46:D46)</f>
        <v>623.08699999999999</v>
      </c>
      <c r="F46" s="37">
        <f>+H46-G46</f>
        <v>476.08699999999999</v>
      </c>
      <c r="G46" s="199">
        <v>115</v>
      </c>
      <c r="H46" s="37">
        <f t="shared" si="1"/>
        <v>591.08699999999999</v>
      </c>
      <c r="I46" s="199">
        <v>32</v>
      </c>
      <c r="J46" s="313" t="s">
        <v>663</v>
      </c>
      <c r="K46" s="36"/>
    </row>
    <row r="47" spans="1:11" ht="12" customHeight="1">
      <c r="A47" s="107" t="s">
        <v>383</v>
      </c>
    </row>
    <row r="48" spans="1:11" ht="12" customHeight="1">
      <c r="A48" s="107" t="s">
        <v>543</v>
      </c>
    </row>
    <row r="49" spans="1:10" ht="10.199999999999999" customHeight="1">
      <c r="A49" t="s">
        <v>544</v>
      </c>
      <c r="J49" s="269" t="s">
        <v>679</v>
      </c>
    </row>
  </sheetData>
  <phoneticPr fontId="0" type="noConversion"/>
  <pageMargins left="0.7" right="0.7" top="0.75" bottom="0.75" header="0.3" footer="0.3"/>
  <pageSetup scale="89" firstPageNumber="47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48"/>
  <sheetViews>
    <sheetView zoomScale="106" zoomScaleNormal="106" zoomScaleSheetLayoutView="100" workbookViewId="0">
      <selection activeCell="A105" sqref="A105"/>
    </sheetView>
  </sheetViews>
  <sheetFormatPr defaultColWidth="11.7109375" defaultRowHeight="10.199999999999999"/>
  <cols>
    <col min="1" max="1" width="7.7109375" customWidth="1"/>
    <col min="2" max="13" width="9.7109375" customWidth="1"/>
    <col min="14" max="14" width="9.7109375" style="27" customWidth="1"/>
  </cols>
  <sheetData>
    <row r="1" spans="1:14">
      <c r="A1" s="136" t="s">
        <v>637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28"/>
    </row>
    <row r="2" spans="1:14">
      <c r="A2" s="46"/>
      <c r="B2" s="383"/>
      <c r="C2" s="298" t="s">
        <v>375</v>
      </c>
      <c r="D2" s="281"/>
      <c r="E2" s="385"/>
      <c r="F2" s="279"/>
      <c r="G2" s="297" t="s">
        <v>376</v>
      </c>
      <c r="H2" s="281"/>
      <c r="I2" s="385"/>
      <c r="K2" s="271"/>
      <c r="L2" s="271" t="s">
        <v>377</v>
      </c>
      <c r="M2" s="273"/>
      <c r="N2" s="273"/>
    </row>
    <row r="3" spans="1:14" ht="12.6" customHeight="1">
      <c r="A3" s="4" t="s">
        <v>20</v>
      </c>
      <c r="B3" s="383" t="s">
        <v>62</v>
      </c>
      <c r="C3" s="4" t="s">
        <v>63</v>
      </c>
      <c r="D3" s="4" t="s">
        <v>64</v>
      </c>
      <c r="E3" s="382" t="s">
        <v>66</v>
      </c>
      <c r="F3" s="4" t="s">
        <v>62</v>
      </c>
      <c r="G3" s="4" t="s">
        <v>63</v>
      </c>
      <c r="H3" s="4" t="s">
        <v>64</v>
      </c>
      <c r="I3" s="382" t="s">
        <v>66</v>
      </c>
      <c r="J3" s="4" t="s">
        <v>62</v>
      </c>
      <c r="K3" s="4" t="s">
        <v>63</v>
      </c>
      <c r="L3" s="4" t="s">
        <v>64</v>
      </c>
      <c r="M3" s="4" t="s">
        <v>66</v>
      </c>
      <c r="N3" s="126" t="s">
        <v>67</v>
      </c>
    </row>
    <row r="4" spans="1:14" ht="11.7" customHeight="1">
      <c r="B4" s="310" t="s">
        <v>257</v>
      </c>
      <c r="C4" s="310"/>
      <c r="D4" s="106" t="s">
        <v>455</v>
      </c>
      <c r="E4" s="106" t="s">
        <v>454</v>
      </c>
      <c r="F4" s="310" t="s">
        <v>257</v>
      </c>
      <c r="G4" s="310"/>
      <c r="H4" s="106" t="s">
        <v>455</v>
      </c>
      <c r="I4" s="106" t="s">
        <v>454</v>
      </c>
      <c r="J4" s="310" t="s">
        <v>257</v>
      </c>
      <c r="K4" s="277"/>
      <c r="L4" s="106" t="s">
        <v>378</v>
      </c>
      <c r="M4" s="106" t="s">
        <v>454</v>
      </c>
      <c r="N4" s="127" t="s">
        <v>379</v>
      </c>
    </row>
    <row r="5" spans="1:14" ht="11.7" customHeight="1">
      <c r="B5" s="157"/>
      <c r="C5" s="157"/>
      <c r="D5" s="106"/>
      <c r="E5" s="106"/>
      <c r="F5" s="157"/>
      <c r="G5" s="157"/>
      <c r="H5" s="106"/>
      <c r="I5" s="106"/>
      <c r="J5" s="35"/>
      <c r="K5" s="35"/>
      <c r="L5" s="106"/>
      <c r="M5" s="106"/>
      <c r="N5" s="127"/>
    </row>
    <row r="6" spans="1:14">
      <c r="A6" s="10">
        <v>1980</v>
      </c>
      <c r="B6" s="94">
        <v>3649</v>
      </c>
      <c r="C6" s="94">
        <v>3442</v>
      </c>
      <c r="D6" s="94">
        <f>+E6*1000/C6</f>
        <v>1019.3811737361999</v>
      </c>
      <c r="E6" s="94">
        <v>3508.71</v>
      </c>
      <c r="F6" s="94">
        <v>261</v>
      </c>
      <c r="G6" s="94">
        <v>241</v>
      </c>
      <c r="H6" s="94">
        <f>+I6*1000/G6</f>
        <v>966.51452282157675</v>
      </c>
      <c r="I6" s="94">
        <v>232.93</v>
      </c>
      <c r="J6" s="94">
        <f>+B6+F6</f>
        <v>3910</v>
      </c>
      <c r="K6" s="94">
        <f>+C6+G6</f>
        <v>3683</v>
      </c>
      <c r="L6" s="94">
        <f>+M6*1000/K6</f>
        <v>1015.9218028780886</v>
      </c>
      <c r="M6" s="94">
        <f>+E6+I6</f>
        <v>3741.64</v>
      </c>
      <c r="N6" s="125">
        <v>413907</v>
      </c>
    </row>
    <row r="7" spans="1:14">
      <c r="A7" s="10">
        <v>1981</v>
      </c>
      <c r="B7" s="94">
        <v>3545</v>
      </c>
      <c r="C7" s="94">
        <v>3496</v>
      </c>
      <c r="D7" s="94">
        <f t="shared" ref="D7:D29" si="0">+E7*1000/C7</f>
        <v>1178.0806636155605</v>
      </c>
      <c r="E7" s="94">
        <v>4118.57</v>
      </c>
      <c r="F7" s="94">
        <v>320</v>
      </c>
      <c r="G7" s="94">
        <v>315</v>
      </c>
      <c r="H7" s="94">
        <f t="shared" ref="H7:H29" si="1">+I7*1000/G7</f>
        <v>1170.9206349206349</v>
      </c>
      <c r="I7" s="94">
        <v>368.84</v>
      </c>
      <c r="J7" s="94">
        <f t="shared" ref="J7:J42" si="2">+B7+F7</f>
        <v>3865</v>
      </c>
      <c r="K7" s="94">
        <f t="shared" ref="K7:K30" si="3">+C7+G7</f>
        <v>3811</v>
      </c>
      <c r="L7" s="94">
        <f t="shared" ref="L7:L29" si="4">+M7*1000/K7</f>
        <v>1177.4888480713723</v>
      </c>
      <c r="M7" s="94">
        <f t="shared" ref="M7:M30" si="5">+E7+I7</f>
        <v>4487.41</v>
      </c>
      <c r="N7" s="125">
        <v>485358</v>
      </c>
    </row>
    <row r="8" spans="1:14">
      <c r="A8" s="10">
        <v>1982</v>
      </c>
      <c r="B8" s="94">
        <v>4566</v>
      </c>
      <c r="C8" s="94">
        <v>4479</v>
      </c>
      <c r="D8" s="94">
        <f t="shared" si="0"/>
        <v>1126.4545657512838</v>
      </c>
      <c r="E8" s="94">
        <v>5045.3900000000003</v>
      </c>
      <c r="F8" s="94">
        <v>249</v>
      </c>
      <c r="G8" s="94">
        <v>245</v>
      </c>
      <c r="H8" s="94">
        <f t="shared" si="1"/>
        <v>1173.1836734693877</v>
      </c>
      <c r="I8" s="94">
        <v>287.43</v>
      </c>
      <c r="J8" s="94">
        <f t="shared" si="2"/>
        <v>4815</v>
      </c>
      <c r="K8" s="94">
        <f t="shared" si="3"/>
        <v>4724</v>
      </c>
      <c r="L8" s="94">
        <f t="shared" si="4"/>
        <v>1128.8780694326845</v>
      </c>
      <c r="M8" s="94">
        <f t="shared" si="5"/>
        <v>5332.8200000000006</v>
      </c>
      <c r="N8" s="125">
        <v>473454</v>
      </c>
    </row>
    <row r="9" spans="1:14">
      <c r="A9" s="10">
        <v>1983</v>
      </c>
      <c r="B9" s="94">
        <v>2954</v>
      </c>
      <c r="C9" s="94">
        <v>2909</v>
      </c>
      <c r="D9" s="94">
        <f t="shared" si="0"/>
        <v>1040.8559642488829</v>
      </c>
      <c r="E9" s="94">
        <v>3027.85</v>
      </c>
      <c r="F9" s="94">
        <v>156</v>
      </c>
      <c r="G9" s="94">
        <v>154</v>
      </c>
      <c r="H9" s="94">
        <f t="shared" si="1"/>
        <v>1108.1168831168832</v>
      </c>
      <c r="I9" s="94">
        <v>170.65</v>
      </c>
      <c r="J9" s="94">
        <f t="shared" si="2"/>
        <v>3110</v>
      </c>
      <c r="K9" s="94">
        <f t="shared" si="3"/>
        <v>3063</v>
      </c>
      <c r="L9" s="94">
        <f t="shared" si="4"/>
        <v>1044.2376754815541</v>
      </c>
      <c r="M9" s="94">
        <f t="shared" si="5"/>
        <v>3198.5</v>
      </c>
      <c r="N9" s="125">
        <v>418764</v>
      </c>
    </row>
    <row r="10" spans="1:14">
      <c r="A10" s="10">
        <v>1984</v>
      </c>
      <c r="B10" s="94">
        <v>3517</v>
      </c>
      <c r="C10" s="94">
        <v>3460</v>
      </c>
      <c r="D10" s="94">
        <f t="shared" si="0"/>
        <v>1011.3872832369942</v>
      </c>
      <c r="E10" s="94">
        <v>3499.4</v>
      </c>
      <c r="F10" s="94">
        <v>237</v>
      </c>
      <c r="G10" s="94">
        <v>232</v>
      </c>
      <c r="H10" s="94">
        <f t="shared" si="1"/>
        <v>1056.594827586207</v>
      </c>
      <c r="I10" s="94">
        <v>245.13</v>
      </c>
      <c r="J10" s="94">
        <f t="shared" si="2"/>
        <v>3754</v>
      </c>
      <c r="K10" s="94">
        <f t="shared" si="3"/>
        <v>3692</v>
      </c>
      <c r="L10" s="94">
        <f t="shared" si="4"/>
        <v>1014.2280606717227</v>
      </c>
      <c r="M10" s="94">
        <f t="shared" si="5"/>
        <v>3744.53</v>
      </c>
      <c r="N10" s="125">
        <v>415584</v>
      </c>
    </row>
    <row r="11" spans="1:14">
      <c r="A11" s="10">
        <v>1985</v>
      </c>
      <c r="B11" s="94">
        <v>2807</v>
      </c>
      <c r="C11" s="94">
        <v>2608</v>
      </c>
      <c r="D11" s="94">
        <f t="shared" si="0"/>
        <v>1099.6625766871166</v>
      </c>
      <c r="E11" s="94">
        <v>2867.92</v>
      </c>
      <c r="F11" s="94">
        <v>248</v>
      </c>
      <c r="G11" s="94">
        <v>236</v>
      </c>
      <c r="H11" s="94">
        <f t="shared" si="1"/>
        <v>1208.050847457627</v>
      </c>
      <c r="I11" s="94">
        <v>285.10000000000002</v>
      </c>
      <c r="J11" s="94">
        <f t="shared" si="2"/>
        <v>3055</v>
      </c>
      <c r="K11" s="94">
        <f t="shared" si="3"/>
        <v>2844</v>
      </c>
      <c r="L11" s="94">
        <f t="shared" si="4"/>
        <v>1108.6568213783403</v>
      </c>
      <c r="M11" s="94">
        <f t="shared" si="5"/>
        <v>3153.02</v>
      </c>
      <c r="N11" s="125">
        <v>251505</v>
      </c>
    </row>
    <row r="12" spans="1:14">
      <c r="A12" s="10">
        <v>1986</v>
      </c>
      <c r="B12" s="94">
        <v>1777</v>
      </c>
      <c r="C12" s="94">
        <v>1716</v>
      </c>
      <c r="D12" s="94">
        <f t="shared" si="0"/>
        <v>1366.6142191142192</v>
      </c>
      <c r="E12" s="94">
        <v>2345.11</v>
      </c>
      <c r="F12" s="94">
        <v>248</v>
      </c>
      <c r="G12" s="94">
        <v>239</v>
      </c>
      <c r="H12" s="94">
        <f t="shared" si="1"/>
        <v>1383.4309623430963</v>
      </c>
      <c r="I12" s="94">
        <v>330.64</v>
      </c>
      <c r="J12" s="94">
        <f t="shared" si="2"/>
        <v>2025</v>
      </c>
      <c r="K12" s="94">
        <f t="shared" si="3"/>
        <v>1955</v>
      </c>
      <c r="L12" s="94">
        <f t="shared" si="4"/>
        <v>1368.6700767263428</v>
      </c>
      <c r="M12" s="94">
        <f t="shared" si="5"/>
        <v>2675.75</v>
      </c>
      <c r="N12" s="125">
        <v>185119</v>
      </c>
    </row>
    <row r="13" spans="1:14">
      <c r="A13" s="10">
        <v>1987</v>
      </c>
      <c r="B13" s="94">
        <v>1587</v>
      </c>
      <c r="C13" s="94">
        <v>1563</v>
      </c>
      <c r="D13" s="94">
        <f t="shared" si="0"/>
        <v>1472.9686500319897</v>
      </c>
      <c r="E13" s="94">
        <v>2302.25</v>
      </c>
      <c r="F13" s="94">
        <v>218</v>
      </c>
      <c r="G13" s="94">
        <v>212</v>
      </c>
      <c r="H13" s="94">
        <f t="shared" si="1"/>
        <v>1442.9245283018868</v>
      </c>
      <c r="I13" s="94">
        <v>305.89999999999998</v>
      </c>
      <c r="J13" s="94">
        <f t="shared" si="2"/>
        <v>1805</v>
      </c>
      <c r="K13" s="94">
        <f t="shared" si="3"/>
        <v>1775</v>
      </c>
      <c r="L13" s="94">
        <f t="shared" si="4"/>
        <v>1469.3802816901409</v>
      </c>
      <c r="M13" s="94">
        <f t="shared" si="5"/>
        <v>2608.15</v>
      </c>
      <c r="N13" s="125">
        <v>217618</v>
      </c>
    </row>
    <row r="14" spans="1:14">
      <c r="A14" s="10">
        <v>1988</v>
      </c>
      <c r="B14" s="94">
        <v>1733</v>
      </c>
      <c r="C14" s="94">
        <v>1630</v>
      </c>
      <c r="D14" s="94">
        <f t="shared" si="0"/>
        <v>921.01226993865032</v>
      </c>
      <c r="E14" s="94">
        <v>1501.25</v>
      </c>
      <c r="F14" s="94">
        <v>305</v>
      </c>
      <c r="G14" s="94">
        <v>291</v>
      </c>
      <c r="H14" s="94">
        <f t="shared" si="1"/>
        <v>999.45017182130584</v>
      </c>
      <c r="I14" s="94">
        <v>290.83999999999997</v>
      </c>
      <c r="J14" s="94">
        <f t="shared" si="2"/>
        <v>2038</v>
      </c>
      <c r="K14" s="94">
        <f t="shared" si="3"/>
        <v>1921</v>
      </c>
      <c r="L14" s="94">
        <f t="shared" si="4"/>
        <v>932.89432587194165</v>
      </c>
      <c r="M14" s="94">
        <f t="shared" si="5"/>
        <v>1792.09</v>
      </c>
      <c r="N14" s="125">
        <v>208875</v>
      </c>
    </row>
    <row r="15" spans="1:14">
      <c r="A15" s="10">
        <v>1989</v>
      </c>
      <c r="B15" s="94">
        <v>1411</v>
      </c>
      <c r="C15" s="94">
        <v>1373</v>
      </c>
      <c r="D15" s="94">
        <f t="shared" si="0"/>
        <v>987.83685360524396</v>
      </c>
      <c r="E15" s="94">
        <v>1356.3</v>
      </c>
      <c r="F15" s="94">
        <v>429</v>
      </c>
      <c r="G15" s="94">
        <v>413</v>
      </c>
      <c r="H15" s="94">
        <f t="shared" si="1"/>
        <v>976.90072639225184</v>
      </c>
      <c r="I15" s="94">
        <v>403.46</v>
      </c>
      <c r="J15" s="94">
        <f t="shared" si="2"/>
        <v>1840</v>
      </c>
      <c r="K15" s="94">
        <f t="shared" si="3"/>
        <v>1786</v>
      </c>
      <c r="L15" s="94">
        <f t="shared" si="4"/>
        <v>985.30795072788351</v>
      </c>
      <c r="M15" s="94">
        <f t="shared" si="5"/>
        <v>1759.76</v>
      </c>
      <c r="N15" s="125">
        <v>190452</v>
      </c>
    </row>
    <row r="16" spans="1:14">
      <c r="A16" s="10">
        <v>1990</v>
      </c>
      <c r="B16" s="257">
        <v>1390</v>
      </c>
      <c r="C16" s="94">
        <v>1343</v>
      </c>
      <c r="D16" s="94">
        <f t="shared" si="0"/>
        <v>1205.1005212211467</v>
      </c>
      <c r="E16" s="94">
        <v>1618.45</v>
      </c>
      <c r="F16" s="94">
        <v>515</v>
      </c>
      <c r="G16" s="94">
        <v>508</v>
      </c>
      <c r="H16" s="94">
        <f t="shared" si="1"/>
        <v>1291.25</v>
      </c>
      <c r="I16" s="94">
        <v>655.95500000000004</v>
      </c>
      <c r="J16" s="94">
        <f t="shared" si="2"/>
        <v>1905</v>
      </c>
      <c r="K16" s="94">
        <f t="shared" si="3"/>
        <v>1851</v>
      </c>
      <c r="L16" s="94">
        <f t="shared" si="4"/>
        <v>1228.743922204214</v>
      </c>
      <c r="M16" s="94">
        <f t="shared" si="5"/>
        <v>2274.4050000000002</v>
      </c>
      <c r="N16" s="125">
        <v>245754</v>
      </c>
    </row>
    <row r="17" spans="1:14">
      <c r="A17" s="10">
        <v>1991</v>
      </c>
      <c r="B17" s="94">
        <v>2294</v>
      </c>
      <c r="C17" s="94">
        <v>2232</v>
      </c>
      <c r="D17" s="94">
        <f t="shared" si="0"/>
        <v>1356.5188172043011</v>
      </c>
      <c r="E17" s="94">
        <v>3027.75</v>
      </c>
      <c r="F17" s="94">
        <v>463</v>
      </c>
      <c r="G17" s="94">
        <v>441</v>
      </c>
      <c r="H17" s="94">
        <f t="shared" si="1"/>
        <v>1327.1655328798186</v>
      </c>
      <c r="I17" s="94">
        <v>585.28</v>
      </c>
      <c r="J17" s="94">
        <f t="shared" si="2"/>
        <v>2757</v>
      </c>
      <c r="K17" s="94">
        <f t="shared" si="3"/>
        <v>2673</v>
      </c>
      <c r="L17" s="94">
        <f t="shared" si="4"/>
        <v>1351.6760194537972</v>
      </c>
      <c r="M17" s="94">
        <f t="shared" si="5"/>
        <v>3613.0299999999997</v>
      </c>
      <c r="N17" s="125">
        <v>316847</v>
      </c>
    </row>
    <row r="18" spans="1:14">
      <c r="A18" s="10">
        <v>1992</v>
      </c>
      <c r="B18" s="94">
        <v>1899</v>
      </c>
      <c r="C18" s="94">
        <v>1790</v>
      </c>
      <c r="D18" s="94">
        <f t="shared" si="0"/>
        <v>1249.1620111731843</v>
      </c>
      <c r="E18" s="94">
        <v>2236</v>
      </c>
      <c r="F18" s="94">
        <v>288</v>
      </c>
      <c r="G18" s="94">
        <v>253</v>
      </c>
      <c r="H18" s="94">
        <f t="shared" si="1"/>
        <v>1300.3359683794467</v>
      </c>
      <c r="I18" s="94">
        <v>328.98500000000001</v>
      </c>
      <c r="J18" s="94">
        <f t="shared" si="2"/>
        <v>2187</v>
      </c>
      <c r="K18" s="94">
        <f t="shared" si="3"/>
        <v>2043</v>
      </c>
      <c r="L18" s="94">
        <f t="shared" si="4"/>
        <v>1255.4992657856094</v>
      </c>
      <c r="M18" s="94">
        <f t="shared" si="5"/>
        <v>2564.9850000000001</v>
      </c>
      <c r="N18" s="125">
        <v>250748</v>
      </c>
    </row>
    <row r="19" spans="1:14">
      <c r="A19" s="10">
        <v>1993</v>
      </c>
      <c r="B19" s="94">
        <v>2297</v>
      </c>
      <c r="C19" s="94">
        <v>2074</v>
      </c>
      <c r="D19" s="94">
        <f t="shared" si="0"/>
        <v>1041.5949855351978</v>
      </c>
      <c r="E19" s="94">
        <v>2160.268</v>
      </c>
      <c r="F19" s="94">
        <v>460</v>
      </c>
      <c r="G19" s="94">
        <v>412</v>
      </c>
      <c r="H19" s="94">
        <f t="shared" si="1"/>
        <v>999.502427184466</v>
      </c>
      <c r="I19" s="94">
        <v>411.79500000000002</v>
      </c>
      <c r="J19" s="94">
        <f t="shared" si="2"/>
        <v>2757</v>
      </c>
      <c r="K19" s="94">
        <f t="shared" si="3"/>
        <v>2486</v>
      </c>
      <c r="L19" s="94">
        <f t="shared" si="4"/>
        <v>1034.619066773934</v>
      </c>
      <c r="M19" s="94">
        <f t="shared" si="5"/>
        <v>2572.0630000000001</v>
      </c>
      <c r="N19" s="125">
        <v>326435</v>
      </c>
    </row>
    <row r="20" spans="1:14">
      <c r="A20" s="10">
        <v>1994</v>
      </c>
      <c r="B20" s="94">
        <v>3041</v>
      </c>
      <c r="C20" s="94">
        <v>2943</v>
      </c>
      <c r="D20" s="94">
        <f t="shared" si="0"/>
        <v>1435.0917431192661</v>
      </c>
      <c r="E20" s="94">
        <v>4223.4750000000004</v>
      </c>
      <c r="F20" s="94">
        <v>526</v>
      </c>
      <c r="G20" s="94">
        <v>487</v>
      </c>
      <c r="H20" s="94">
        <f t="shared" si="1"/>
        <v>1257.3921971252566</v>
      </c>
      <c r="I20" s="94">
        <v>612.35</v>
      </c>
      <c r="J20" s="94">
        <f t="shared" si="2"/>
        <v>3567</v>
      </c>
      <c r="K20" s="94">
        <f t="shared" si="3"/>
        <v>3430</v>
      </c>
      <c r="L20" s="94">
        <f t="shared" si="4"/>
        <v>1409.8615160349857</v>
      </c>
      <c r="M20" s="94">
        <f t="shared" si="5"/>
        <v>4835.8250000000007</v>
      </c>
      <c r="N20" s="125">
        <v>512791</v>
      </c>
    </row>
    <row r="21" spans="1:14">
      <c r="A21" s="10">
        <v>1995</v>
      </c>
      <c r="B21" s="94">
        <v>2911</v>
      </c>
      <c r="C21" s="94">
        <v>2829</v>
      </c>
      <c r="D21" s="94">
        <f t="shared" si="0"/>
        <v>1201.2856132909155</v>
      </c>
      <c r="E21" s="94">
        <v>3398.4369999999999</v>
      </c>
      <c r="F21" s="94">
        <v>567</v>
      </c>
      <c r="G21" s="94">
        <v>539</v>
      </c>
      <c r="H21" s="94">
        <f t="shared" si="1"/>
        <v>1133.3858998144713</v>
      </c>
      <c r="I21" s="94">
        <v>610.89499999999998</v>
      </c>
      <c r="J21" s="94">
        <f t="shared" si="2"/>
        <v>3478</v>
      </c>
      <c r="K21" s="94">
        <f t="shared" si="3"/>
        <v>3368</v>
      </c>
      <c r="L21" s="94">
        <f t="shared" si="4"/>
        <v>1190.4192399049882</v>
      </c>
      <c r="M21" s="94">
        <f t="shared" si="5"/>
        <v>4009.3319999999999</v>
      </c>
      <c r="N21" s="125">
        <v>457575</v>
      </c>
    </row>
    <row r="22" spans="1:14">
      <c r="A22" s="10">
        <v>1996</v>
      </c>
      <c r="B22" s="94">
        <v>1967</v>
      </c>
      <c r="C22" s="94">
        <v>1934</v>
      </c>
      <c r="D22" s="94">
        <f t="shared" si="0"/>
        <v>1470.404860392968</v>
      </c>
      <c r="E22" s="94">
        <v>2843.7629999999999</v>
      </c>
      <c r="F22" s="94">
        <v>569</v>
      </c>
      <c r="G22" s="94">
        <v>545</v>
      </c>
      <c r="H22" s="94">
        <f t="shared" si="1"/>
        <v>1312.9908256880733</v>
      </c>
      <c r="I22" s="94">
        <v>715.58</v>
      </c>
      <c r="J22" s="94">
        <f t="shared" si="2"/>
        <v>2536</v>
      </c>
      <c r="K22" s="94">
        <f t="shared" si="3"/>
        <v>2479</v>
      </c>
      <c r="L22" s="94">
        <f t="shared" si="4"/>
        <v>1435.7979023799919</v>
      </c>
      <c r="M22" s="94">
        <f t="shared" si="5"/>
        <v>3559.3429999999998</v>
      </c>
      <c r="N22" s="125">
        <v>417910</v>
      </c>
    </row>
    <row r="23" spans="1:14">
      <c r="A23" s="10">
        <v>1997</v>
      </c>
      <c r="B23" s="94">
        <v>2284</v>
      </c>
      <c r="C23" s="94">
        <v>2212</v>
      </c>
      <c r="D23" s="94">
        <f t="shared" si="0"/>
        <v>1349.7739602169981</v>
      </c>
      <c r="E23" s="94">
        <v>2985.7</v>
      </c>
      <c r="F23" s="94">
        <v>604</v>
      </c>
      <c r="G23" s="94">
        <v>580</v>
      </c>
      <c r="H23" s="94">
        <f t="shared" si="1"/>
        <v>1191.8137931034482</v>
      </c>
      <c r="I23" s="94">
        <v>691.25199999999995</v>
      </c>
      <c r="J23" s="94">
        <f t="shared" si="2"/>
        <v>2888</v>
      </c>
      <c r="K23" s="94">
        <f t="shared" si="3"/>
        <v>2792</v>
      </c>
      <c r="L23" s="94">
        <f t="shared" si="4"/>
        <v>1316.9598853868195</v>
      </c>
      <c r="M23" s="94">
        <f t="shared" si="5"/>
        <v>3676.9519999999998</v>
      </c>
      <c r="N23" s="125">
        <v>426766</v>
      </c>
    </row>
    <row r="24" spans="1:14">
      <c r="A24" s="10">
        <v>1998</v>
      </c>
      <c r="B24" s="94">
        <v>2953</v>
      </c>
      <c r="C24" s="94">
        <v>2897</v>
      </c>
      <c r="D24" s="94">
        <f t="shared" si="0"/>
        <v>1548.6227131515361</v>
      </c>
      <c r="E24" s="94">
        <v>4486.3599999999997</v>
      </c>
      <c r="F24" s="94">
        <v>615</v>
      </c>
      <c r="G24" s="94">
        <v>595</v>
      </c>
      <c r="H24" s="94">
        <f t="shared" si="1"/>
        <v>1322.3563025210085</v>
      </c>
      <c r="I24" s="94">
        <v>786.80200000000002</v>
      </c>
      <c r="J24" s="94">
        <f t="shared" si="2"/>
        <v>3568</v>
      </c>
      <c r="K24" s="94">
        <f t="shared" si="3"/>
        <v>3492</v>
      </c>
      <c r="L24" s="94">
        <f t="shared" si="4"/>
        <v>1510.0693012600227</v>
      </c>
      <c r="M24" s="94">
        <f t="shared" si="5"/>
        <v>5273.1619999999994</v>
      </c>
      <c r="N24" s="125">
        <v>536971</v>
      </c>
    </row>
    <row r="25" spans="1:14">
      <c r="A25" s="10">
        <v>1999</v>
      </c>
      <c r="B25" s="94">
        <v>2757</v>
      </c>
      <c r="C25" s="94">
        <v>2695</v>
      </c>
      <c r="D25" s="94">
        <f t="shared" si="0"/>
        <v>1297.8923933209649</v>
      </c>
      <c r="E25" s="94">
        <v>3497.82</v>
      </c>
      <c r="F25" s="94">
        <v>796</v>
      </c>
      <c r="G25" s="94">
        <v>746</v>
      </c>
      <c r="H25" s="94">
        <f t="shared" si="1"/>
        <v>1131.4235924932975</v>
      </c>
      <c r="I25" s="94">
        <v>844.04200000000003</v>
      </c>
      <c r="J25" s="94">
        <f t="shared" si="2"/>
        <v>3553</v>
      </c>
      <c r="K25" s="94">
        <f t="shared" si="3"/>
        <v>3441</v>
      </c>
      <c r="L25" s="94">
        <f t="shared" si="4"/>
        <v>1261.8023830281895</v>
      </c>
      <c r="M25" s="94">
        <f t="shared" si="5"/>
        <v>4341.8620000000001</v>
      </c>
      <c r="N25" s="125">
        <v>339993</v>
      </c>
    </row>
    <row r="26" spans="1:14">
      <c r="A26" s="10">
        <v>2000</v>
      </c>
      <c r="B26" s="94">
        <v>2248</v>
      </c>
      <c r="C26" s="94">
        <v>2116</v>
      </c>
      <c r="D26" s="94">
        <f t="shared" si="0"/>
        <v>1375.1625708884687</v>
      </c>
      <c r="E26" s="94">
        <v>2909.8440000000001</v>
      </c>
      <c r="F26" s="94">
        <v>592</v>
      </c>
      <c r="G26" s="94">
        <v>531</v>
      </c>
      <c r="H26" s="94">
        <f t="shared" si="1"/>
        <v>1195.0734463276835</v>
      </c>
      <c r="I26" s="94">
        <v>634.58399999999995</v>
      </c>
      <c r="J26" s="94">
        <f t="shared" si="2"/>
        <v>2840</v>
      </c>
      <c r="K26" s="94">
        <f t="shared" si="3"/>
        <v>2647</v>
      </c>
      <c r="L26" s="94">
        <f t="shared" si="4"/>
        <v>1339.0358896864375</v>
      </c>
      <c r="M26" s="94">
        <f t="shared" si="5"/>
        <v>3544.4279999999999</v>
      </c>
      <c r="N26" s="125">
        <v>246869</v>
      </c>
    </row>
    <row r="27" spans="1:14">
      <c r="A27" s="10">
        <v>2001</v>
      </c>
      <c r="B27" s="94">
        <v>2117</v>
      </c>
      <c r="C27" s="94">
        <v>2060</v>
      </c>
      <c r="D27" s="94">
        <f t="shared" si="0"/>
        <v>1361.021359223301</v>
      </c>
      <c r="E27" s="94">
        <v>2803.7040000000002</v>
      </c>
      <c r="F27" s="94">
        <v>516</v>
      </c>
      <c r="G27" s="94">
        <v>495</v>
      </c>
      <c r="H27" s="94">
        <f t="shared" si="1"/>
        <v>1242.5353535353536</v>
      </c>
      <c r="I27" s="94">
        <v>615.05499999999995</v>
      </c>
      <c r="J27" s="94">
        <f t="shared" si="2"/>
        <v>2633</v>
      </c>
      <c r="K27" s="94">
        <f t="shared" si="3"/>
        <v>2555</v>
      </c>
      <c r="L27" s="94">
        <f t="shared" si="4"/>
        <v>1338.06614481409</v>
      </c>
      <c r="M27" s="94">
        <f t="shared" si="5"/>
        <v>3418.759</v>
      </c>
      <c r="N27" s="125">
        <v>325950</v>
      </c>
    </row>
    <row r="28" spans="1:14">
      <c r="A28" s="62">
        <v>2002</v>
      </c>
      <c r="B28" s="94">
        <v>2126</v>
      </c>
      <c r="C28" s="94">
        <v>1806</v>
      </c>
      <c r="D28" s="94">
        <f t="shared" si="0"/>
        <v>1143.9086378737541</v>
      </c>
      <c r="E28" s="94">
        <v>2065.8989999999999</v>
      </c>
      <c r="F28" s="94">
        <v>455</v>
      </c>
      <c r="G28" s="94">
        <v>361</v>
      </c>
      <c r="H28" s="94">
        <f t="shared" si="1"/>
        <v>1067.4459833795013</v>
      </c>
      <c r="I28" s="94">
        <v>385.34800000000001</v>
      </c>
      <c r="J28" s="94">
        <f t="shared" si="2"/>
        <v>2581</v>
      </c>
      <c r="K28" s="94">
        <f t="shared" si="3"/>
        <v>2167</v>
      </c>
      <c r="L28" s="94">
        <f t="shared" si="4"/>
        <v>1131.170742962621</v>
      </c>
      <c r="M28" s="94">
        <f t="shared" si="5"/>
        <v>2451.2469999999998</v>
      </c>
      <c r="N28" s="125">
        <v>294595</v>
      </c>
    </row>
    <row r="29" spans="1:14">
      <c r="A29" s="62">
        <v>2003</v>
      </c>
      <c r="B29" s="94">
        <v>1998</v>
      </c>
      <c r="C29" s="94">
        <v>1874</v>
      </c>
      <c r="D29" s="94">
        <f t="shared" si="0"/>
        <v>1205.7982924226253</v>
      </c>
      <c r="E29" s="94">
        <v>2259.6660000000002</v>
      </c>
      <c r="F29" s="94">
        <v>346</v>
      </c>
      <c r="G29" s="94">
        <v>323</v>
      </c>
      <c r="H29" s="94">
        <f t="shared" si="1"/>
        <v>1255.6037151702787</v>
      </c>
      <c r="I29" s="94">
        <v>405.56</v>
      </c>
      <c r="J29" s="94">
        <f t="shared" si="2"/>
        <v>2344</v>
      </c>
      <c r="K29" s="94">
        <f t="shared" si="3"/>
        <v>2197</v>
      </c>
      <c r="L29" s="94">
        <f t="shared" si="4"/>
        <v>1213.1206190259445</v>
      </c>
      <c r="M29" s="94">
        <f t="shared" si="5"/>
        <v>2665.2260000000001</v>
      </c>
      <c r="N29" s="125">
        <v>316214</v>
      </c>
    </row>
    <row r="30" spans="1:14">
      <c r="A30" s="62">
        <v>2004</v>
      </c>
      <c r="B30" s="94">
        <v>1533</v>
      </c>
      <c r="C30" s="94">
        <v>1424</v>
      </c>
      <c r="D30" s="94">
        <f t="shared" ref="D30:D35" si="6">+E30*1000/C30</f>
        <v>1238.3272471910113</v>
      </c>
      <c r="E30" s="94">
        <v>1763.3779999999999</v>
      </c>
      <c r="F30" s="94">
        <v>340</v>
      </c>
      <c r="G30" s="94">
        <v>287</v>
      </c>
      <c r="H30" s="94">
        <f t="shared" ref="H30:H35" si="7">+I30*1000/G30</f>
        <v>997.33449477351917</v>
      </c>
      <c r="I30" s="94">
        <v>286.23500000000001</v>
      </c>
      <c r="J30" s="94">
        <f t="shared" si="2"/>
        <v>1873</v>
      </c>
      <c r="K30" s="94">
        <f t="shared" si="3"/>
        <v>1711</v>
      </c>
      <c r="L30" s="94">
        <f t="shared" ref="L30:L35" si="8">+M30*1000/K30</f>
        <v>1197.903565166569</v>
      </c>
      <c r="M30" s="94">
        <f t="shared" si="5"/>
        <v>2049.6129999999998</v>
      </c>
      <c r="N30" s="125">
        <v>272732</v>
      </c>
    </row>
    <row r="31" spans="1:14">
      <c r="A31" s="62">
        <v>2005</v>
      </c>
      <c r="B31" s="94">
        <v>2104</v>
      </c>
      <c r="C31" s="94">
        <v>2032</v>
      </c>
      <c r="D31" s="94">
        <f t="shared" si="6"/>
        <v>1563.7967519685039</v>
      </c>
      <c r="E31" s="94">
        <v>3177.6350000000002</v>
      </c>
      <c r="F31" s="94">
        <v>605</v>
      </c>
      <c r="G31" s="94">
        <v>578</v>
      </c>
      <c r="H31" s="94">
        <f t="shared" si="7"/>
        <v>1452.4567474048442</v>
      </c>
      <c r="I31" s="94">
        <v>839.52</v>
      </c>
      <c r="J31" s="94">
        <f t="shared" si="2"/>
        <v>2709</v>
      </c>
      <c r="K31" s="94">
        <f t="shared" ref="K31:K36" si="9">+C31+G31</f>
        <v>2610</v>
      </c>
      <c r="L31" s="94">
        <f t="shared" si="8"/>
        <v>1539.139846743295</v>
      </c>
      <c r="M31" s="94">
        <f t="shared" ref="M31:M36" si="10">+E31+I31</f>
        <v>4017.1550000000002</v>
      </c>
      <c r="N31" s="125">
        <v>487420</v>
      </c>
    </row>
    <row r="32" spans="1:14">
      <c r="A32" s="62">
        <v>2006</v>
      </c>
      <c r="B32" s="94">
        <v>1658</v>
      </c>
      <c r="C32" s="94">
        <v>1514</v>
      </c>
      <c r="D32" s="94">
        <f t="shared" si="6"/>
        <v>1180.9550858652576</v>
      </c>
      <c r="E32" s="94">
        <v>1787.9659999999999</v>
      </c>
      <c r="F32" s="94">
        <v>292</v>
      </c>
      <c r="G32" s="94">
        <v>256</v>
      </c>
      <c r="H32" s="94">
        <f t="shared" si="7"/>
        <v>1389.24609375</v>
      </c>
      <c r="I32" s="94">
        <v>355.64699999999999</v>
      </c>
      <c r="J32" s="94">
        <f t="shared" si="2"/>
        <v>1950</v>
      </c>
      <c r="K32" s="94">
        <f t="shared" si="9"/>
        <v>1770</v>
      </c>
      <c r="L32" s="94">
        <f t="shared" si="8"/>
        <v>1211.0807909604521</v>
      </c>
      <c r="M32" s="94">
        <f t="shared" si="10"/>
        <v>2143.6129999999998</v>
      </c>
      <c r="N32" s="125">
        <v>308832</v>
      </c>
    </row>
    <row r="33" spans="1:14">
      <c r="A33" s="62">
        <v>2007</v>
      </c>
      <c r="B33" s="94">
        <v>1765.5</v>
      </c>
      <c r="C33" s="94">
        <v>1719</v>
      </c>
      <c r="D33" s="94">
        <f t="shared" si="6"/>
        <v>1444.78475858057</v>
      </c>
      <c r="E33" s="94">
        <v>2483.585</v>
      </c>
      <c r="F33" s="94">
        <v>304.5</v>
      </c>
      <c r="G33" s="94">
        <v>292.5</v>
      </c>
      <c r="H33" s="94">
        <f t="shared" si="7"/>
        <v>1317.2136752136753</v>
      </c>
      <c r="I33" s="94">
        <v>385.28500000000003</v>
      </c>
      <c r="J33" s="94">
        <f t="shared" si="2"/>
        <v>2070</v>
      </c>
      <c r="K33" s="94">
        <f t="shared" si="9"/>
        <v>2011.5</v>
      </c>
      <c r="L33" s="94">
        <f t="shared" si="8"/>
        <v>1426.2341536167039</v>
      </c>
      <c r="M33" s="94">
        <f t="shared" si="10"/>
        <v>2868.87</v>
      </c>
      <c r="N33" s="125">
        <v>614736</v>
      </c>
    </row>
    <row r="34" spans="1:14">
      <c r="A34" s="62">
        <v>2008</v>
      </c>
      <c r="B34" s="94">
        <v>2163</v>
      </c>
      <c r="C34" s="94">
        <v>2062</v>
      </c>
      <c r="D34" s="94">
        <f t="shared" si="6"/>
        <v>1451.7507274490786</v>
      </c>
      <c r="E34" s="94">
        <v>2993.51</v>
      </c>
      <c r="F34" s="94">
        <v>353.5</v>
      </c>
      <c r="G34" s="94">
        <v>334</v>
      </c>
      <c r="H34" s="94">
        <f t="shared" si="7"/>
        <v>1285.4191616766468</v>
      </c>
      <c r="I34" s="94">
        <v>429.33</v>
      </c>
      <c r="J34" s="94">
        <f t="shared" si="2"/>
        <v>2516.5</v>
      </c>
      <c r="K34" s="94">
        <f t="shared" si="9"/>
        <v>2396</v>
      </c>
      <c r="L34" s="94">
        <f t="shared" si="8"/>
        <v>1428.5642737896494</v>
      </c>
      <c r="M34" s="94">
        <f t="shared" si="10"/>
        <v>3422.84</v>
      </c>
      <c r="N34" s="125">
        <v>704105</v>
      </c>
    </row>
    <row r="35" spans="1:14">
      <c r="A35" s="62">
        <v>2009</v>
      </c>
      <c r="B35" s="94">
        <v>1698</v>
      </c>
      <c r="C35" s="94">
        <v>1653</v>
      </c>
      <c r="D35" s="94">
        <f t="shared" si="6"/>
        <v>1563.2244404113733</v>
      </c>
      <c r="E35" s="94">
        <v>2584.0100000000002</v>
      </c>
      <c r="F35" s="94">
        <v>332</v>
      </c>
      <c r="G35" s="94">
        <v>300.5</v>
      </c>
      <c r="H35" s="94">
        <f t="shared" si="7"/>
        <v>1505.6572379367719</v>
      </c>
      <c r="I35" s="94">
        <v>452.45</v>
      </c>
      <c r="J35" s="94">
        <f t="shared" si="2"/>
        <v>2030</v>
      </c>
      <c r="K35" s="94">
        <f t="shared" si="9"/>
        <v>1953.5</v>
      </c>
      <c r="L35" s="94">
        <f t="shared" si="8"/>
        <v>1554.3690811364218</v>
      </c>
      <c r="M35" s="94">
        <f t="shared" si="10"/>
        <v>3036.46</v>
      </c>
      <c r="N35" s="125">
        <v>458959</v>
      </c>
    </row>
    <row r="36" spans="1:14">
      <c r="A36" s="62">
        <v>2010</v>
      </c>
      <c r="B36" s="94">
        <v>1463</v>
      </c>
      <c r="C36" s="94">
        <v>1422.5</v>
      </c>
      <c r="D36" s="94">
        <f t="shared" ref="D36:D41" si="11">+E36*1000/C36</f>
        <v>1458.347978910369</v>
      </c>
      <c r="E36" s="94">
        <v>2074.5</v>
      </c>
      <c r="F36" s="94">
        <v>488.5</v>
      </c>
      <c r="G36" s="94">
        <v>451.3</v>
      </c>
      <c r="H36" s="94">
        <f t="shared" ref="H36:H41" si="12">+I36*1000/G36</f>
        <v>1464.8127631287391</v>
      </c>
      <c r="I36" s="94">
        <v>661.07</v>
      </c>
      <c r="J36" s="94">
        <f t="shared" si="2"/>
        <v>1951.5</v>
      </c>
      <c r="K36" s="94">
        <f t="shared" si="9"/>
        <v>1873.8</v>
      </c>
      <c r="L36" s="94">
        <f t="shared" ref="L36:L41" si="13">+M36*1000/K36</f>
        <v>1459.9050058704238</v>
      </c>
      <c r="M36" s="94">
        <f t="shared" si="10"/>
        <v>2735.57</v>
      </c>
      <c r="N36" s="125">
        <v>633778</v>
      </c>
    </row>
    <row r="37" spans="1:14">
      <c r="A37" s="62">
        <v>2011</v>
      </c>
      <c r="B37" s="94">
        <v>1289.5</v>
      </c>
      <c r="C37" s="94">
        <v>1233.4000000000001</v>
      </c>
      <c r="D37" s="94">
        <f t="shared" si="11"/>
        <v>1396.6880168639532</v>
      </c>
      <c r="E37" s="94">
        <v>1722.675</v>
      </c>
      <c r="F37" s="94">
        <v>253.5</v>
      </c>
      <c r="G37" s="94">
        <v>224.4</v>
      </c>
      <c r="H37" s="94">
        <f t="shared" si="12"/>
        <v>1406.4171122994653</v>
      </c>
      <c r="I37" s="94">
        <v>315.60000000000002</v>
      </c>
      <c r="J37" s="94">
        <f t="shared" si="2"/>
        <v>1543</v>
      </c>
      <c r="K37" s="94">
        <f t="shared" ref="K37:K42" si="14">+C37+G37</f>
        <v>1457.8000000000002</v>
      </c>
      <c r="L37" s="94">
        <f t="shared" si="13"/>
        <v>1398.1856221703936</v>
      </c>
      <c r="M37" s="94">
        <f t="shared" ref="M37:M42" si="15">+E37+I37</f>
        <v>2038.2750000000001</v>
      </c>
      <c r="N37" s="125">
        <v>589282</v>
      </c>
    </row>
    <row r="38" spans="1:14">
      <c r="A38" s="62">
        <v>2012</v>
      </c>
      <c r="B38" s="94">
        <v>1658</v>
      </c>
      <c r="C38" s="94">
        <v>1589.8</v>
      </c>
      <c r="D38" s="94">
        <f t="shared" si="11"/>
        <v>1484.3219272864512</v>
      </c>
      <c r="E38" s="94">
        <v>2359.7750000000001</v>
      </c>
      <c r="F38" s="94">
        <v>262</v>
      </c>
      <c r="G38" s="94">
        <v>250.2</v>
      </c>
      <c r="H38" s="94">
        <f t="shared" si="12"/>
        <v>1503.9368505195844</v>
      </c>
      <c r="I38" s="94">
        <v>376.28500000000003</v>
      </c>
      <c r="J38" s="94">
        <f t="shared" si="2"/>
        <v>1920</v>
      </c>
      <c r="K38" s="94">
        <f t="shared" si="14"/>
        <v>1840</v>
      </c>
      <c r="L38" s="94">
        <f t="shared" si="13"/>
        <v>1486.9891304347825</v>
      </c>
      <c r="M38" s="94">
        <f t="shared" si="15"/>
        <v>2736.06</v>
      </c>
      <c r="N38" s="125">
        <v>699970</v>
      </c>
    </row>
    <row r="39" spans="1:14">
      <c r="A39" s="62">
        <v>2013</v>
      </c>
      <c r="B39" s="94">
        <v>1279</v>
      </c>
      <c r="C39" s="94">
        <v>1200.9000000000001</v>
      </c>
      <c r="D39" s="94">
        <f t="shared" si="11"/>
        <v>1363.3150137396951</v>
      </c>
      <c r="E39" s="94">
        <v>1637.2049999999999</v>
      </c>
      <c r="F39" s="94">
        <v>296.5</v>
      </c>
      <c r="G39" s="94">
        <v>263.7</v>
      </c>
      <c r="H39" s="94">
        <f t="shared" si="12"/>
        <v>1458.323852863102</v>
      </c>
      <c r="I39" s="94">
        <v>384.56</v>
      </c>
      <c r="J39" s="94">
        <f t="shared" si="2"/>
        <v>1575.5</v>
      </c>
      <c r="K39" s="94">
        <f t="shared" si="14"/>
        <v>1464.6000000000001</v>
      </c>
      <c r="L39" s="94">
        <f t="shared" si="13"/>
        <v>1380.4212754335651</v>
      </c>
      <c r="M39" s="94">
        <f t="shared" si="15"/>
        <v>2021.7649999999999</v>
      </c>
      <c r="N39" s="125">
        <v>443296</v>
      </c>
    </row>
    <row r="40" spans="1:14">
      <c r="A40" s="62">
        <v>2014</v>
      </c>
      <c r="B40" s="215">
        <v>1174</v>
      </c>
      <c r="C40" s="215">
        <v>1139.5</v>
      </c>
      <c r="D40" s="94">
        <f t="shared" si="11"/>
        <v>1460.3685827117156</v>
      </c>
      <c r="E40" s="215">
        <v>1664.09</v>
      </c>
      <c r="F40" s="215">
        <v>391.3</v>
      </c>
      <c r="G40" s="215">
        <v>370.6</v>
      </c>
      <c r="H40" s="94">
        <f t="shared" si="12"/>
        <v>1497.4635725849971</v>
      </c>
      <c r="I40" s="215">
        <v>554.96</v>
      </c>
      <c r="J40" s="94">
        <f t="shared" si="2"/>
        <v>1565.3</v>
      </c>
      <c r="K40" s="94">
        <f t="shared" si="14"/>
        <v>1510.1</v>
      </c>
      <c r="L40" s="94">
        <f t="shared" si="13"/>
        <v>1469.4722203827562</v>
      </c>
      <c r="M40" s="94">
        <f t="shared" si="15"/>
        <v>2219.0500000000002</v>
      </c>
      <c r="N40" s="216">
        <v>497775</v>
      </c>
    </row>
    <row r="41" spans="1:14">
      <c r="A41" s="62">
        <v>2015</v>
      </c>
      <c r="B41" s="215">
        <v>1550.5</v>
      </c>
      <c r="C41" s="215">
        <v>1510</v>
      </c>
      <c r="D41" s="94">
        <f t="shared" si="11"/>
        <v>1578.7218543046358</v>
      </c>
      <c r="E41" s="215">
        <v>2383.87</v>
      </c>
      <c r="F41" s="215">
        <v>308.60000000000002</v>
      </c>
      <c r="G41" s="215">
        <v>289.39999999999998</v>
      </c>
      <c r="H41" s="94">
        <f t="shared" si="12"/>
        <v>1865.4457498272288</v>
      </c>
      <c r="I41" s="215">
        <v>539.86</v>
      </c>
      <c r="J41" s="94">
        <f t="shared" si="2"/>
        <v>1859.1</v>
      </c>
      <c r="K41" s="94">
        <f t="shared" si="14"/>
        <v>1799.4</v>
      </c>
      <c r="L41" s="94">
        <f t="shared" si="13"/>
        <v>1624.8360564632655</v>
      </c>
      <c r="M41" s="94">
        <f t="shared" si="15"/>
        <v>2923.73</v>
      </c>
      <c r="N41" s="216">
        <v>574156</v>
      </c>
    </row>
    <row r="42" spans="1:14">
      <c r="A42" s="62">
        <v>2016</v>
      </c>
      <c r="B42" s="215">
        <f>1418</f>
        <v>1418</v>
      </c>
      <c r="C42" s="215">
        <v>1368.5</v>
      </c>
      <c r="D42" s="94">
        <f>+E42*1000/C42</f>
        <v>1731.1033978808914</v>
      </c>
      <c r="E42" s="215">
        <v>2369.0149999999999</v>
      </c>
      <c r="F42" s="215">
        <v>178.6</v>
      </c>
      <c r="G42" s="215">
        <v>163.5</v>
      </c>
      <c r="H42" s="94">
        <f>+I42*1000/G42</f>
        <v>1728.5626911314985</v>
      </c>
      <c r="I42" s="215">
        <v>282.62</v>
      </c>
      <c r="J42" s="94">
        <f t="shared" si="2"/>
        <v>1596.6</v>
      </c>
      <c r="K42" s="94">
        <f t="shared" si="14"/>
        <v>1532</v>
      </c>
      <c r="L42" s="94">
        <f>+M42*1000/K42</f>
        <v>1730.8322454308091</v>
      </c>
      <c r="M42" s="94">
        <f t="shared" si="15"/>
        <v>2651.6349999999998</v>
      </c>
      <c r="N42" s="216">
        <v>464015</v>
      </c>
    </row>
    <row r="43" spans="1:14">
      <c r="A43" s="115">
        <v>2017</v>
      </c>
      <c r="B43" s="218">
        <f>1216</f>
        <v>1216</v>
      </c>
      <c r="C43" s="218">
        <v>1168</v>
      </c>
      <c r="D43" s="96">
        <f>+E43*1000/C43</f>
        <v>1581.785102739726</v>
      </c>
      <c r="E43" s="218">
        <v>1847.5250000000001</v>
      </c>
      <c r="F43" s="218">
        <v>187</v>
      </c>
      <c r="G43" s="218">
        <v>166</v>
      </c>
      <c r="H43" s="96">
        <f>+I43*1000/G43</f>
        <v>1748.3433734939758</v>
      </c>
      <c r="I43" s="218">
        <v>290.22500000000002</v>
      </c>
      <c r="J43" s="96">
        <f>B43+F43</f>
        <v>1403</v>
      </c>
      <c r="K43" s="96">
        <f>C43+G43</f>
        <v>1334</v>
      </c>
      <c r="L43" s="96">
        <f>+M43*1000/K43</f>
        <v>1602.5112443778112</v>
      </c>
      <c r="M43" s="96">
        <f>+E43+I43</f>
        <v>2137.75</v>
      </c>
      <c r="N43" s="216">
        <v>389168</v>
      </c>
    </row>
    <row r="44" spans="1:14">
      <c r="A44" s="118" t="s">
        <v>626</v>
      </c>
      <c r="B44" s="256">
        <v>1164</v>
      </c>
      <c r="C44" s="256">
        <v>1099</v>
      </c>
      <c r="D44" s="98">
        <f>+E44*1000/C44</f>
        <v>1725.5777979981801</v>
      </c>
      <c r="E44" s="256">
        <v>1896.41</v>
      </c>
      <c r="F44" s="256">
        <v>137</v>
      </c>
      <c r="G44" s="256">
        <v>124</v>
      </c>
      <c r="H44" s="98">
        <f>+I44*1000/G44</f>
        <v>1774.1935483870968</v>
      </c>
      <c r="I44" s="256">
        <v>220</v>
      </c>
      <c r="J44" s="98">
        <f>B44+F44</f>
        <v>1301</v>
      </c>
      <c r="K44" s="98">
        <f>C44+G44</f>
        <v>1223</v>
      </c>
      <c r="L44" s="98">
        <f>+M44*1000/K44</f>
        <v>1730.5069501226492</v>
      </c>
      <c r="M44" s="98">
        <f>+E44+I44</f>
        <v>2116.41</v>
      </c>
      <c r="N44" s="261">
        <f>(M44*17.1)*10</f>
        <v>361906.11</v>
      </c>
    </row>
    <row r="45" spans="1:14">
      <c r="A45" s="107" t="s">
        <v>387</v>
      </c>
      <c r="B45" s="6"/>
      <c r="C45" s="6"/>
      <c r="D45" s="6"/>
      <c r="E45" s="6"/>
      <c r="F45" s="6"/>
      <c r="G45" s="6"/>
      <c r="H45" s="6"/>
      <c r="I45" s="6"/>
    </row>
    <row r="46" spans="1:14">
      <c r="A46" s="107" t="s">
        <v>530</v>
      </c>
      <c r="B46" s="48"/>
      <c r="C46" s="48"/>
      <c r="D46" s="48"/>
      <c r="E46" s="48"/>
      <c r="F46" s="48"/>
      <c r="G46" s="48"/>
      <c r="H46" s="48"/>
      <c r="I46" s="48"/>
      <c r="M46" s="270"/>
    </row>
    <row r="47" spans="1:14" ht="12" customHeight="1">
      <c r="N47" s="270" t="s">
        <v>679</v>
      </c>
    </row>
    <row r="48" spans="1:14">
      <c r="A48" t="s">
        <v>61</v>
      </c>
    </row>
  </sheetData>
  <phoneticPr fontId="0" type="noConversion"/>
  <pageMargins left="0.7" right="0.7" top="0.75" bottom="0.75" header="0.3" footer="0.3"/>
  <pageSetup scale="21" firstPageNumber="48" orientation="portrait" useFirstPageNumber="1" r:id="rId1"/>
  <headerFooter alignWithMargins="0">
    <oddFooter>&amp;C&amp;P
Oil Crops Yearbook/OCS-2018
March 2018
Economic Research Service, USDA</oddFooter>
  </headerFooter>
  <ignoredErrors>
    <ignoredError sqref="N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50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1.7109375" customWidth="1"/>
    <col min="2" max="10" width="10.7109375" customWidth="1"/>
    <col min="11" max="11" width="13.85546875" customWidth="1"/>
    <col min="12" max="12" width="9.85546875" customWidth="1"/>
  </cols>
  <sheetData>
    <row r="1" spans="1:12">
      <c r="A1" s="114" t="s">
        <v>638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0" t="s">
        <v>263</v>
      </c>
      <c r="B2" s="383"/>
      <c r="C2" s="296" t="s">
        <v>119</v>
      </c>
      <c r="D2" s="279"/>
      <c r="E2" s="382"/>
      <c r="F2" s="279"/>
      <c r="G2" s="187" t="s">
        <v>258</v>
      </c>
      <c r="H2" s="279"/>
      <c r="I2" s="382"/>
      <c r="J2" s="172" t="s">
        <v>143</v>
      </c>
      <c r="K2" s="307" t="s">
        <v>118</v>
      </c>
      <c r="L2" s="283"/>
    </row>
    <row r="3" spans="1:12">
      <c r="A3" s="10" t="s">
        <v>100</v>
      </c>
      <c r="B3" s="364" t="s">
        <v>141</v>
      </c>
      <c r="C3" s="7" t="s">
        <v>66</v>
      </c>
      <c r="D3" s="7" t="s">
        <v>88</v>
      </c>
      <c r="E3" s="391" t="s">
        <v>3</v>
      </c>
      <c r="F3" s="7" t="s">
        <v>111</v>
      </c>
      <c r="G3" s="7" t="s">
        <v>260</v>
      </c>
      <c r="H3" s="7" t="s">
        <v>90</v>
      </c>
      <c r="I3" s="391" t="s">
        <v>3</v>
      </c>
      <c r="J3" s="172" t="s">
        <v>110</v>
      </c>
      <c r="K3" s="7" t="s">
        <v>560</v>
      </c>
      <c r="L3" s="7" t="s">
        <v>458</v>
      </c>
    </row>
    <row r="4" spans="1:12">
      <c r="A4" s="45" t="s">
        <v>175</v>
      </c>
      <c r="B4" s="364" t="s">
        <v>110</v>
      </c>
      <c r="C4" s="7"/>
      <c r="D4" s="7"/>
      <c r="E4" s="367"/>
      <c r="F4" s="7"/>
      <c r="G4" s="7" t="s">
        <v>261</v>
      </c>
      <c r="H4" s="7"/>
      <c r="I4" s="367"/>
      <c r="K4" s="7" t="s">
        <v>114</v>
      </c>
    </row>
    <row r="5" spans="1:12">
      <c r="A5" s="11"/>
      <c r="B5" s="365"/>
      <c r="C5" s="1"/>
      <c r="D5" s="1"/>
      <c r="E5" s="368"/>
      <c r="F5" s="9"/>
      <c r="G5" s="9" t="s">
        <v>262</v>
      </c>
      <c r="H5" s="9"/>
      <c r="I5" s="369"/>
      <c r="J5" s="1"/>
      <c r="K5" s="9" t="s">
        <v>168</v>
      </c>
      <c r="L5" s="9"/>
    </row>
    <row r="6" spans="1:12" ht="12" customHeight="1">
      <c r="C6" s="277"/>
      <c r="D6" s="277"/>
      <c r="E6" s="277"/>
      <c r="F6" s="277" t="s">
        <v>282</v>
      </c>
      <c r="G6" s="277"/>
      <c r="H6" s="277"/>
      <c r="I6" s="277"/>
      <c r="J6" s="277"/>
      <c r="K6" s="7" t="s">
        <v>271</v>
      </c>
      <c r="L6" s="7" t="s">
        <v>271</v>
      </c>
    </row>
    <row r="7" spans="1:12" ht="12" customHeight="1">
      <c r="B7" s="35"/>
      <c r="C7" s="35"/>
      <c r="D7" s="35"/>
      <c r="E7" s="35"/>
      <c r="F7" s="35"/>
      <c r="G7" s="35"/>
      <c r="H7" s="35"/>
      <c r="I7" s="35"/>
      <c r="J7" s="35"/>
      <c r="K7" s="7"/>
    </row>
    <row r="8" spans="1:12">
      <c r="A8" s="10" t="s">
        <v>273</v>
      </c>
      <c r="B8" s="93">
        <v>1975.341312</v>
      </c>
      <c r="C8" s="94">
        <f>+'tab20'!M6</f>
        <v>3741.64</v>
      </c>
      <c r="D8" s="93">
        <v>61.729416000000001</v>
      </c>
      <c r="E8" s="94">
        <f>SUM(B8:D8)</f>
        <v>5778.710728</v>
      </c>
      <c r="F8" s="94">
        <v>1719.588</v>
      </c>
      <c r="G8" s="93">
        <f>+I8-F8-H8</f>
        <v>339.92541400000027</v>
      </c>
      <c r="H8" s="93">
        <v>3317.9561100000001</v>
      </c>
      <c r="I8" s="94">
        <f t="shared" ref="I8:I46" si="0">+E8-J8</f>
        <v>5377.4695240000001</v>
      </c>
      <c r="J8" s="93">
        <v>401.24120399999998</v>
      </c>
      <c r="K8" s="131">
        <v>10.9</v>
      </c>
      <c r="L8" s="91" t="s">
        <v>266</v>
      </c>
    </row>
    <row r="9" spans="1:12">
      <c r="A9" s="10" t="s">
        <v>274</v>
      </c>
      <c r="B9" s="36">
        <f t="shared" ref="B9:B28" si="1">+J8</f>
        <v>401.24120399999998</v>
      </c>
      <c r="C9" s="94">
        <f>+'tab20'!M7</f>
        <v>4487.41</v>
      </c>
      <c r="D9" s="93">
        <v>70.547904000000003</v>
      </c>
      <c r="E9" s="94">
        <f t="shared" ref="E9:E28" si="2">SUM(B9:D9)</f>
        <v>4959.1991079999998</v>
      </c>
      <c r="F9" s="94">
        <v>824.5204</v>
      </c>
      <c r="G9" s="93">
        <f t="shared" ref="G9:G29" si="3">+I9-F9-H9</f>
        <v>391.23055199999953</v>
      </c>
      <c r="H9" s="93">
        <v>3428.1872100000001</v>
      </c>
      <c r="I9" s="94">
        <f t="shared" si="0"/>
        <v>4643.9381619999995</v>
      </c>
      <c r="J9" s="93">
        <v>315.26094599999999</v>
      </c>
      <c r="K9" s="31">
        <v>10.8</v>
      </c>
      <c r="L9" s="91" t="s">
        <v>266</v>
      </c>
    </row>
    <row r="10" spans="1:12">
      <c r="A10" s="10" t="s">
        <v>275</v>
      </c>
      <c r="B10" s="36">
        <f t="shared" si="1"/>
        <v>315.26094599999999</v>
      </c>
      <c r="C10" s="94">
        <f>+'tab20'!M8</f>
        <v>5332.8200000000006</v>
      </c>
      <c r="D10" s="93">
        <v>88.184880000000007</v>
      </c>
      <c r="E10" s="94">
        <f t="shared" si="2"/>
        <v>5736.2658260000007</v>
      </c>
      <c r="F10" s="94">
        <v>1688.7236</v>
      </c>
      <c r="G10" s="93">
        <f t="shared" si="3"/>
        <v>420.93903600000021</v>
      </c>
      <c r="H10" s="93">
        <v>2971.8304560000001</v>
      </c>
      <c r="I10" s="94">
        <f t="shared" si="0"/>
        <v>5081.4930920000006</v>
      </c>
      <c r="J10" s="93">
        <v>654.77273400000001</v>
      </c>
      <c r="K10" s="31">
        <v>9.0299999999999994</v>
      </c>
      <c r="L10" s="91" t="s">
        <v>266</v>
      </c>
    </row>
    <row r="11" spans="1:12">
      <c r="A11" s="10" t="s">
        <v>276</v>
      </c>
      <c r="B11" s="36">
        <f t="shared" si="1"/>
        <v>654.77273400000001</v>
      </c>
      <c r="C11" s="94">
        <f>+'tab20'!M9</f>
        <v>3198.5</v>
      </c>
      <c r="D11" s="93">
        <v>68.343282000000002</v>
      </c>
      <c r="E11" s="94">
        <f t="shared" si="2"/>
        <v>3921.6160159999999</v>
      </c>
      <c r="F11" s="94">
        <v>1300.7139999999999</v>
      </c>
      <c r="G11" s="93">
        <f t="shared" si="3"/>
        <v>247.85411199999999</v>
      </c>
      <c r="H11" s="93">
        <v>2302.5</v>
      </c>
      <c r="I11" s="94">
        <f t="shared" si="0"/>
        <v>3851.0681119999999</v>
      </c>
      <c r="J11" s="93">
        <v>70.547904000000003</v>
      </c>
      <c r="K11" s="31">
        <v>13</v>
      </c>
      <c r="L11" s="91" t="s">
        <v>266</v>
      </c>
    </row>
    <row r="12" spans="1:12">
      <c r="A12" s="10" t="s">
        <v>277</v>
      </c>
      <c r="B12" s="36">
        <f t="shared" si="1"/>
        <v>70.547904000000003</v>
      </c>
      <c r="C12" s="94">
        <f>+'tab20'!M10</f>
        <v>3744.53</v>
      </c>
      <c r="D12" s="93">
        <v>57.320171999999999</v>
      </c>
      <c r="E12" s="94">
        <f t="shared" si="2"/>
        <v>3872.3980760000004</v>
      </c>
      <c r="F12" s="94">
        <v>1250.0082</v>
      </c>
      <c r="G12" s="93">
        <f t="shared" si="3"/>
        <v>281.60947400000032</v>
      </c>
      <c r="H12" s="93">
        <v>2183.7804019999999</v>
      </c>
      <c r="I12" s="94">
        <f t="shared" si="0"/>
        <v>3715.3980760000004</v>
      </c>
      <c r="J12" s="93">
        <v>157</v>
      </c>
      <c r="K12" s="31">
        <v>11.3</v>
      </c>
      <c r="L12" s="91" t="s">
        <v>266</v>
      </c>
    </row>
    <row r="13" spans="1:12">
      <c r="A13" s="10" t="s">
        <v>278</v>
      </c>
      <c r="B13" s="36">
        <f t="shared" si="1"/>
        <v>157</v>
      </c>
      <c r="C13" s="94">
        <f>+'tab20'!M11</f>
        <v>3153.02</v>
      </c>
      <c r="D13" s="93">
        <v>57.319600000000001</v>
      </c>
      <c r="E13" s="94">
        <f t="shared" si="2"/>
        <v>3367.3395999999998</v>
      </c>
      <c r="F13" s="94">
        <v>1485.9004</v>
      </c>
      <c r="G13" s="93">
        <f t="shared" si="3"/>
        <v>608.46939999999995</v>
      </c>
      <c r="H13" s="93">
        <v>803.99620000000004</v>
      </c>
      <c r="I13" s="94">
        <f t="shared" si="0"/>
        <v>2898.366</v>
      </c>
      <c r="J13" s="93">
        <v>468.97359999999998</v>
      </c>
      <c r="K13" s="31">
        <v>7.93</v>
      </c>
      <c r="L13" s="91" t="s">
        <v>266</v>
      </c>
    </row>
    <row r="14" spans="1:12">
      <c r="A14" s="10" t="s">
        <v>279</v>
      </c>
      <c r="B14" s="36">
        <f t="shared" si="1"/>
        <v>468.97359999999998</v>
      </c>
      <c r="C14" s="94">
        <f>+'tab20'!M12</f>
        <v>2675.75</v>
      </c>
      <c r="D14" s="93">
        <v>18.613866000000002</v>
      </c>
      <c r="E14" s="94">
        <f t="shared" si="2"/>
        <v>3163.3374659999999</v>
      </c>
      <c r="F14" s="94">
        <v>1399.93497</v>
      </c>
      <c r="G14" s="93">
        <f t="shared" si="3"/>
        <v>535.08619980000014</v>
      </c>
      <c r="H14" s="93">
        <v>670.1256482</v>
      </c>
      <c r="I14" s="94">
        <f t="shared" si="0"/>
        <v>2605.1468180000002</v>
      </c>
      <c r="J14" s="93">
        <v>558.19064800000001</v>
      </c>
      <c r="K14" s="31">
        <v>6.9</v>
      </c>
      <c r="L14" s="91" t="s">
        <v>266</v>
      </c>
    </row>
    <row r="15" spans="1:12">
      <c r="A15" s="10" t="s">
        <v>280</v>
      </c>
      <c r="B15" s="36">
        <f t="shared" si="1"/>
        <v>558.19064800000001</v>
      </c>
      <c r="C15" s="94">
        <f>+'tab20'!M13</f>
        <v>2608.15</v>
      </c>
      <c r="D15" s="93">
        <v>22.023</v>
      </c>
      <c r="E15" s="94">
        <f t="shared" si="2"/>
        <v>3188.3636480000005</v>
      </c>
      <c r="F15" s="94">
        <v>1984.14</v>
      </c>
      <c r="G15" s="93">
        <f t="shared" si="3"/>
        <v>175.84420440000054</v>
      </c>
      <c r="H15" s="93">
        <v>594.32929560000002</v>
      </c>
      <c r="I15" s="94">
        <f t="shared" si="0"/>
        <v>2754.3135000000007</v>
      </c>
      <c r="J15" s="93">
        <v>434.05014799999998</v>
      </c>
      <c r="K15" s="31">
        <v>8.34</v>
      </c>
      <c r="L15" s="91" t="s">
        <v>266</v>
      </c>
    </row>
    <row r="16" spans="1:12">
      <c r="A16" s="10" t="s">
        <v>281</v>
      </c>
      <c r="B16" s="36">
        <f t="shared" si="1"/>
        <v>434.05014799999998</v>
      </c>
      <c r="C16" s="94">
        <f>+'tab20'!M14</f>
        <v>1792.09</v>
      </c>
      <c r="D16" s="93">
        <v>55.091999999999999</v>
      </c>
      <c r="E16" s="94">
        <f t="shared" si="2"/>
        <v>2281.2321480000001</v>
      </c>
      <c r="F16" s="94">
        <v>1267</v>
      </c>
      <c r="G16" s="93">
        <f t="shared" si="3"/>
        <v>651.42010540000012</v>
      </c>
      <c r="H16" s="93">
        <v>186.3570426</v>
      </c>
      <c r="I16" s="94">
        <f t="shared" si="0"/>
        <v>2104.7771480000001</v>
      </c>
      <c r="J16" s="93">
        <v>176.45500000000001</v>
      </c>
      <c r="K16" s="31">
        <v>12.1</v>
      </c>
      <c r="L16" s="91" t="s">
        <v>266</v>
      </c>
    </row>
    <row r="17" spans="1:12">
      <c r="A17" s="10" t="s">
        <v>9</v>
      </c>
      <c r="B17" s="36">
        <f t="shared" si="1"/>
        <v>176.45500000000001</v>
      </c>
      <c r="C17" s="94">
        <f>+'tab20'!M15</f>
        <v>1759.76</v>
      </c>
      <c r="D17" s="93">
        <v>43.342514546654002</v>
      </c>
      <c r="E17" s="94">
        <f t="shared" si="2"/>
        <v>1979.5575145466539</v>
      </c>
      <c r="F17" s="94">
        <v>1204</v>
      </c>
      <c r="G17" s="93">
        <f t="shared" si="3"/>
        <v>506.32467833386198</v>
      </c>
      <c r="H17" s="93">
        <v>211.07583621279201</v>
      </c>
      <c r="I17" s="94">
        <f t="shared" si="0"/>
        <v>1921.400514546654</v>
      </c>
      <c r="J17" s="93">
        <v>58.156999999999996</v>
      </c>
      <c r="K17" s="31">
        <v>10.6</v>
      </c>
      <c r="L17" s="91" t="s">
        <v>266</v>
      </c>
    </row>
    <row r="18" spans="1:12">
      <c r="A18" s="10" t="s">
        <v>10</v>
      </c>
      <c r="B18" s="36">
        <f t="shared" si="1"/>
        <v>58.156999999999996</v>
      </c>
      <c r="C18" s="94">
        <f>+'tab20'!M16</f>
        <v>2274.4050000000002</v>
      </c>
      <c r="D18" s="93">
        <v>87.54264717948999</v>
      </c>
      <c r="E18" s="94">
        <f t="shared" si="2"/>
        <v>2420.1046471794903</v>
      </c>
      <c r="F18" s="94">
        <v>1307</v>
      </c>
      <c r="G18" s="93">
        <f t="shared" si="3"/>
        <v>646.57099857949004</v>
      </c>
      <c r="H18" s="93">
        <v>271.47664859999998</v>
      </c>
      <c r="I18" s="94">
        <f t="shared" si="0"/>
        <v>2225.04764717949</v>
      </c>
      <c r="J18" s="93">
        <v>195.05700000000002</v>
      </c>
      <c r="K18" s="31">
        <v>10.8</v>
      </c>
      <c r="L18" s="91" t="s">
        <v>266</v>
      </c>
    </row>
    <row r="19" spans="1:12">
      <c r="A19" s="10" t="s">
        <v>11</v>
      </c>
      <c r="B19" s="36">
        <f t="shared" si="1"/>
        <v>195.05700000000002</v>
      </c>
      <c r="C19" s="94">
        <f>+'tab20'!M17</f>
        <v>3613.0299999999997</v>
      </c>
      <c r="D19" s="93">
        <v>166</v>
      </c>
      <c r="E19" s="94">
        <f t="shared" si="2"/>
        <v>3974.0869999999995</v>
      </c>
      <c r="F19" s="94">
        <v>2099</v>
      </c>
      <c r="G19" s="93">
        <f t="shared" si="3"/>
        <v>979.58039999999937</v>
      </c>
      <c r="H19" s="93">
        <v>317.11259999999999</v>
      </c>
      <c r="I19" s="94">
        <f t="shared" si="0"/>
        <v>3395.6929999999993</v>
      </c>
      <c r="J19" s="93">
        <v>578.39400000000001</v>
      </c>
      <c r="K19" s="31">
        <v>8.69</v>
      </c>
      <c r="L19" s="33">
        <v>8.9</v>
      </c>
    </row>
    <row r="20" spans="1:12">
      <c r="A20" s="10" t="s">
        <v>12</v>
      </c>
      <c r="B20" s="36">
        <f t="shared" si="1"/>
        <v>578.39400000000001</v>
      </c>
      <c r="C20" s="94">
        <f>+'tab20'!M18</f>
        <v>2564.9850000000001</v>
      </c>
      <c r="D20" s="93">
        <v>104</v>
      </c>
      <c r="E20" s="94">
        <f t="shared" si="2"/>
        <v>3247.3789999999999</v>
      </c>
      <c r="F20" s="94">
        <v>2035.7850000000001</v>
      </c>
      <c r="G20" s="93">
        <f t="shared" si="3"/>
        <v>800.41699999999969</v>
      </c>
      <c r="H20" s="93">
        <v>260</v>
      </c>
      <c r="I20" s="94">
        <f t="shared" si="0"/>
        <v>3096.2019999999998</v>
      </c>
      <c r="J20" s="93">
        <v>151.17699999999999</v>
      </c>
      <c r="K20" s="31">
        <v>9.74</v>
      </c>
      <c r="L20" s="33">
        <v>8.9</v>
      </c>
    </row>
    <row r="21" spans="1:12">
      <c r="A21" s="10" t="s">
        <v>13</v>
      </c>
      <c r="B21" s="36">
        <f t="shared" si="1"/>
        <v>151.17699999999999</v>
      </c>
      <c r="C21" s="94">
        <f>+'tab20'!M19</f>
        <v>2572.0630000000001</v>
      </c>
      <c r="D21" s="93">
        <v>53.756966400000003</v>
      </c>
      <c r="E21" s="94">
        <f t="shared" si="2"/>
        <v>2776.9969664</v>
      </c>
      <c r="F21" s="94">
        <v>1457</v>
      </c>
      <c r="G21" s="93">
        <f t="shared" si="3"/>
        <v>945.94876860000022</v>
      </c>
      <c r="H21" s="93">
        <v>218.35019779999999</v>
      </c>
      <c r="I21" s="94">
        <f t="shared" si="0"/>
        <v>2621.2989664000002</v>
      </c>
      <c r="J21" s="93">
        <v>155.69799999999998</v>
      </c>
      <c r="K21" s="31">
        <v>12.9</v>
      </c>
      <c r="L21" s="33">
        <v>8.9</v>
      </c>
    </row>
    <row r="22" spans="1:12">
      <c r="A22" s="10" t="s">
        <v>14</v>
      </c>
      <c r="B22" s="36">
        <f t="shared" si="1"/>
        <v>155.69799999999998</v>
      </c>
      <c r="C22" s="94">
        <f>+'tab20'!M20</f>
        <v>4835.8250000000007</v>
      </c>
      <c r="D22" s="93">
        <v>92.804841600000003</v>
      </c>
      <c r="E22" s="94">
        <f t="shared" si="2"/>
        <v>5084.3278416000012</v>
      </c>
      <c r="F22" s="94">
        <v>2894.4017032000002</v>
      </c>
      <c r="G22" s="93">
        <f t="shared" si="3"/>
        <v>1330.948397000001</v>
      </c>
      <c r="H22" s="93">
        <v>631.63774139999998</v>
      </c>
      <c r="I22" s="94">
        <f t="shared" si="0"/>
        <v>4856.987841600001</v>
      </c>
      <c r="J22" s="93">
        <v>227.34</v>
      </c>
      <c r="K22" s="31">
        <v>10.7</v>
      </c>
      <c r="L22" s="33">
        <v>8.6999999999999993</v>
      </c>
    </row>
    <row r="23" spans="1:12">
      <c r="A23" s="10" t="s">
        <v>15</v>
      </c>
      <c r="B23" s="36">
        <f t="shared" si="1"/>
        <v>227.34</v>
      </c>
      <c r="C23" s="94">
        <f>+'tab20'!M21</f>
        <v>4009.3319999999999</v>
      </c>
      <c r="D23" s="93">
        <v>46.444308200000002</v>
      </c>
      <c r="E23" s="94">
        <f t="shared" si="2"/>
        <v>4283.1163081999994</v>
      </c>
      <c r="F23" s="94">
        <v>2017.8395155999999</v>
      </c>
      <c r="G23" s="93">
        <f t="shared" si="3"/>
        <v>1318.0377494736974</v>
      </c>
      <c r="H23" s="93">
        <v>494.28604312630205</v>
      </c>
      <c r="I23" s="94">
        <f t="shared" si="0"/>
        <v>3830.1633081999994</v>
      </c>
      <c r="J23" s="93">
        <v>452.95299999999997</v>
      </c>
      <c r="K23" s="31">
        <v>11.5</v>
      </c>
      <c r="L23" s="33">
        <v>8.6999999999999993</v>
      </c>
    </row>
    <row r="24" spans="1:12">
      <c r="A24" s="10" t="s">
        <v>16</v>
      </c>
      <c r="B24" s="36">
        <f t="shared" si="1"/>
        <v>452.95299999999997</v>
      </c>
      <c r="C24" s="94">
        <f>+'tab20'!M22</f>
        <v>3559.3429999999998</v>
      </c>
      <c r="D24" s="93">
        <v>39.61</v>
      </c>
      <c r="E24" s="94">
        <f t="shared" si="2"/>
        <v>4051.9059999999999</v>
      </c>
      <c r="F24" s="94">
        <v>1861.3724397999999</v>
      </c>
      <c r="G24" s="93">
        <f t="shared" si="3"/>
        <v>1428.387598484238</v>
      </c>
      <c r="H24" s="93">
        <v>329.14096171576205</v>
      </c>
      <c r="I24" s="94">
        <f t="shared" si="0"/>
        <v>3618.9009999999998</v>
      </c>
      <c r="J24" s="93">
        <v>433.005</v>
      </c>
      <c r="K24" s="31">
        <v>11.7</v>
      </c>
      <c r="L24" s="33">
        <v>8.91</v>
      </c>
    </row>
    <row r="25" spans="1:12">
      <c r="A25" s="10" t="s">
        <v>17</v>
      </c>
      <c r="B25" s="36">
        <f t="shared" si="1"/>
        <v>433.005</v>
      </c>
      <c r="C25" s="94">
        <f>+'tab20'!M23</f>
        <v>3676.9519999999998</v>
      </c>
      <c r="D25" s="93">
        <v>64.891794000000004</v>
      </c>
      <c r="E25" s="94">
        <f t="shared" si="2"/>
        <v>4174.8487939999995</v>
      </c>
      <c r="F25" s="94">
        <v>2338.1436450000001</v>
      </c>
      <c r="G25" s="93">
        <f t="shared" si="3"/>
        <v>1218.1557644395896</v>
      </c>
      <c r="H25" s="93">
        <v>416.23738456040996</v>
      </c>
      <c r="I25" s="94">
        <f t="shared" si="0"/>
        <v>3972.5367939999996</v>
      </c>
      <c r="J25" s="93">
        <v>202.31200000000001</v>
      </c>
      <c r="K25" s="31">
        <v>11.6</v>
      </c>
      <c r="L25" s="33">
        <v>9.3000000000000007</v>
      </c>
    </row>
    <row r="26" spans="1:12">
      <c r="A26" s="10" t="s">
        <v>18</v>
      </c>
      <c r="B26" s="36">
        <f t="shared" si="1"/>
        <v>202.31200000000001</v>
      </c>
      <c r="C26" s="94">
        <f>+'tab20'!M24</f>
        <v>5273.1619999999994</v>
      </c>
      <c r="D26" s="93">
        <v>75.477999999999994</v>
      </c>
      <c r="E26" s="94">
        <f t="shared" si="2"/>
        <v>5550.9519999999993</v>
      </c>
      <c r="F26" s="94">
        <v>2595.9517735999998</v>
      </c>
      <c r="G26" s="93">
        <f t="shared" si="3"/>
        <v>1874.0452274094555</v>
      </c>
      <c r="H26" s="93">
        <v>572.73099899054398</v>
      </c>
      <c r="I26" s="94">
        <f t="shared" si="0"/>
        <v>5042.7279999999992</v>
      </c>
      <c r="J26" s="93">
        <v>508.22400000000005</v>
      </c>
      <c r="K26" s="31">
        <v>10.6</v>
      </c>
      <c r="L26" s="33">
        <v>9.3000000000000007</v>
      </c>
    </row>
    <row r="27" spans="1:12">
      <c r="A27" s="10" t="s">
        <v>19</v>
      </c>
      <c r="B27" s="36">
        <f t="shared" si="1"/>
        <v>508.22400000000005</v>
      </c>
      <c r="C27" s="94">
        <f>+'tab20'!M25</f>
        <v>4341.8620000000001</v>
      </c>
      <c r="D27" s="93">
        <v>91.439342996400001</v>
      </c>
      <c r="E27" s="94">
        <f t="shared" si="2"/>
        <v>4941.5253429964005</v>
      </c>
      <c r="F27" s="94">
        <v>2511</v>
      </c>
      <c r="G27" s="93">
        <f t="shared" si="3"/>
        <v>1468.9095197934002</v>
      </c>
      <c r="H27" s="93">
        <v>451.47682320299998</v>
      </c>
      <c r="I27" s="94">
        <f t="shared" si="0"/>
        <v>4431.3863429964003</v>
      </c>
      <c r="J27" s="93">
        <v>510.13900000000001</v>
      </c>
      <c r="K27" s="31">
        <v>7.53</v>
      </c>
      <c r="L27" s="33">
        <v>9.3000000000000007</v>
      </c>
    </row>
    <row r="28" spans="1:12">
      <c r="A28" s="62" t="s">
        <v>337</v>
      </c>
      <c r="B28" s="36">
        <f t="shared" si="1"/>
        <v>510.13900000000001</v>
      </c>
      <c r="C28" s="94">
        <f>+'tab20'!M26</f>
        <v>3544.4279999999999</v>
      </c>
      <c r="D28" s="95">
        <v>144.65979992519999</v>
      </c>
      <c r="E28" s="96">
        <f t="shared" si="2"/>
        <v>4199.2267999251999</v>
      </c>
      <c r="F28" s="96">
        <v>2035.51</v>
      </c>
      <c r="G28" s="95">
        <f t="shared" si="3"/>
        <v>1375.1600202607799</v>
      </c>
      <c r="H28" s="95">
        <v>443.56577966441995</v>
      </c>
      <c r="I28" s="96">
        <f t="shared" si="0"/>
        <v>3854.2357999251999</v>
      </c>
      <c r="J28" s="95">
        <v>344.99099999999999</v>
      </c>
      <c r="K28" s="31">
        <v>6.89</v>
      </c>
      <c r="L28" s="33">
        <v>9.3000000000000007</v>
      </c>
    </row>
    <row r="29" spans="1:12">
      <c r="A29" s="62" t="s">
        <v>341</v>
      </c>
      <c r="B29" s="36">
        <f t="shared" ref="B29:B34" si="4">+J28</f>
        <v>344.99099999999999</v>
      </c>
      <c r="C29" s="94">
        <f>+'tab20'!M27</f>
        <v>3418.759</v>
      </c>
      <c r="D29" s="95">
        <v>168.51711689819999</v>
      </c>
      <c r="E29" s="96">
        <f t="shared" ref="E29:E34" si="5">SUM(B29:D29)</f>
        <v>3932.2671168982001</v>
      </c>
      <c r="F29" s="96">
        <v>1676.4056</v>
      </c>
      <c r="G29" s="95">
        <f t="shared" si="3"/>
        <v>1499.03340992621</v>
      </c>
      <c r="H29" s="95">
        <v>517.34110697199003</v>
      </c>
      <c r="I29" s="96">
        <f t="shared" si="0"/>
        <v>3692.7801168982</v>
      </c>
      <c r="J29" s="95">
        <v>239.48699999999999</v>
      </c>
      <c r="K29" s="31">
        <v>9.6199999999999992</v>
      </c>
      <c r="L29" s="33">
        <v>9.3000000000000007</v>
      </c>
    </row>
    <row r="30" spans="1:12">
      <c r="A30" s="62" t="s">
        <v>353</v>
      </c>
      <c r="B30" s="95">
        <f t="shared" si="4"/>
        <v>239.48699999999999</v>
      </c>
      <c r="C30" s="94">
        <f>+'tab20'!M28</f>
        <v>2451.2469999999998</v>
      </c>
      <c r="D30" s="95">
        <v>216.095</v>
      </c>
      <c r="E30" s="96">
        <f t="shared" si="5"/>
        <v>2906.8289999999997</v>
      </c>
      <c r="F30" s="96">
        <v>702.7</v>
      </c>
      <c r="G30" s="95">
        <f t="shared" ref="G30:G35" si="6">+I30-F30-H30</f>
        <v>1398.1367744705515</v>
      </c>
      <c r="H30" s="95">
        <v>366.28622552944802</v>
      </c>
      <c r="I30" s="96">
        <f t="shared" si="0"/>
        <v>2467.1229999999996</v>
      </c>
      <c r="J30" s="95">
        <v>439.70600000000002</v>
      </c>
      <c r="K30" s="31">
        <v>12.1</v>
      </c>
      <c r="L30" s="33">
        <v>9.6</v>
      </c>
    </row>
    <row r="31" spans="1:12">
      <c r="A31" s="62" t="s">
        <v>364</v>
      </c>
      <c r="B31" s="95">
        <f t="shared" si="4"/>
        <v>439.70600000000002</v>
      </c>
      <c r="C31" s="94">
        <f>+'tab20'!M29</f>
        <v>2665.2260000000001</v>
      </c>
      <c r="D31" s="95">
        <v>197.33799999999999</v>
      </c>
      <c r="E31" s="96">
        <f t="shared" si="5"/>
        <v>3302.2700000000004</v>
      </c>
      <c r="F31" s="96">
        <v>1382.9</v>
      </c>
      <c r="G31" s="95">
        <f t="shared" si="6"/>
        <v>1185.3804308256706</v>
      </c>
      <c r="H31" s="95">
        <v>374.86556917433001</v>
      </c>
      <c r="I31" s="96">
        <f t="shared" si="0"/>
        <v>2943.1460000000006</v>
      </c>
      <c r="J31" s="95">
        <v>359.12400000000002</v>
      </c>
      <c r="K31" s="31">
        <v>12.1</v>
      </c>
      <c r="L31" s="33">
        <v>9.6</v>
      </c>
    </row>
    <row r="32" spans="1:12">
      <c r="A32" s="62" t="s">
        <v>366</v>
      </c>
      <c r="B32" s="95">
        <f t="shared" si="4"/>
        <v>359.12400000000002</v>
      </c>
      <c r="C32" s="94">
        <f>+'tab20'!M30</f>
        <v>2049.6129999999998</v>
      </c>
      <c r="D32" s="95">
        <v>97.772999999999996</v>
      </c>
      <c r="E32" s="96">
        <f t="shared" si="5"/>
        <v>2506.5100000000002</v>
      </c>
      <c r="F32" s="96">
        <v>609</v>
      </c>
      <c r="G32" s="95">
        <f t="shared" si="6"/>
        <v>1386.8990000000001</v>
      </c>
      <c r="H32" s="95">
        <v>311.56799999999998</v>
      </c>
      <c r="I32" s="96">
        <f t="shared" si="0"/>
        <v>2307.4670000000001</v>
      </c>
      <c r="J32" s="95">
        <v>199.04300000000001</v>
      </c>
      <c r="K32" s="31">
        <v>13.7</v>
      </c>
      <c r="L32" s="33">
        <v>9.3000000000000007</v>
      </c>
    </row>
    <row r="33" spans="1:12">
      <c r="A33" s="62" t="s">
        <v>385</v>
      </c>
      <c r="B33" s="95">
        <f t="shared" si="4"/>
        <v>199.04300000000001</v>
      </c>
      <c r="C33" s="94">
        <f>+'tab20'!M31</f>
        <v>4017.1550000000002</v>
      </c>
      <c r="D33" s="95">
        <v>86.823000000000008</v>
      </c>
      <c r="E33" s="96">
        <f t="shared" si="5"/>
        <v>4303.0210000000006</v>
      </c>
      <c r="F33" s="96">
        <v>1248.0999999999999</v>
      </c>
      <c r="G33" s="95">
        <f t="shared" si="6"/>
        <v>1878.0320000000008</v>
      </c>
      <c r="H33" s="95">
        <v>392.74700000000001</v>
      </c>
      <c r="I33" s="96">
        <f t="shared" si="0"/>
        <v>3518.8790000000008</v>
      </c>
      <c r="J33" s="95">
        <v>784.14200000000005</v>
      </c>
      <c r="K33" s="31">
        <v>12.1</v>
      </c>
      <c r="L33" s="33">
        <v>9.3000000000000007</v>
      </c>
    </row>
    <row r="34" spans="1:12">
      <c r="A34" s="62" t="s">
        <v>400</v>
      </c>
      <c r="B34" s="95">
        <f t="shared" si="4"/>
        <v>784.14200000000005</v>
      </c>
      <c r="C34" s="94">
        <f>+'tab20'!M32</f>
        <v>2143.6129999999998</v>
      </c>
      <c r="D34" s="95">
        <v>246.71899999999999</v>
      </c>
      <c r="E34" s="96">
        <f t="shared" si="5"/>
        <v>3174.4740000000002</v>
      </c>
      <c r="F34" s="96">
        <v>1452</v>
      </c>
      <c r="G34" s="95">
        <f t="shared" si="6"/>
        <v>1020.3260000000002</v>
      </c>
      <c r="H34" s="95">
        <v>400.14799999999997</v>
      </c>
      <c r="I34" s="96">
        <f t="shared" si="0"/>
        <v>2872.4740000000002</v>
      </c>
      <c r="J34" s="95">
        <v>302</v>
      </c>
      <c r="K34" s="31">
        <v>14.5</v>
      </c>
      <c r="L34" s="33">
        <v>9.3000000000000007</v>
      </c>
    </row>
    <row r="35" spans="1:12">
      <c r="A35" s="62" t="s">
        <v>404</v>
      </c>
      <c r="B35" s="95">
        <f t="shared" ref="B35:B40" si="7">+J34</f>
        <v>302</v>
      </c>
      <c r="C35" s="94">
        <f>+'tab20'!M33</f>
        <v>2868.87</v>
      </c>
      <c r="D35" s="95">
        <v>192.32400000000001</v>
      </c>
      <c r="E35" s="96">
        <f t="shared" ref="E35:E46" si="8">SUM(B35:D35)</f>
        <v>3363.194</v>
      </c>
      <c r="F35" s="96">
        <v>1504.8</v>
      </c>
      <c r="G35" s="95">
        <f t="shared" si="6"/>
        <v>1152.58</v>
      </c>
      <c r="H35" s="95">
        <v>441.13299999999998</v>
      </c>
      <c r="I35" s="96">
        <f t="shared" si="0"/>
        <v>3098.5129999999999</v>
      </c>
      <c r="J35" s="95">
        <v>264.68099999999998</v>
      </c>
      <c r="K35" s="31">
        <v>21.7</v>
      </c>
      <c r="L35" s="33">
        <v>9.3000000000000007</v>
      </c>
    </row>
    <row r="36" spans="1:12">
      <c r="A36" s="62" t="s">
        <v>411</v>
      </c>
      <c r="B36" s="95">
        <f t="shared" si="7"/>
        <v>264.68099999999998</v>
      </c>
      <c r="C36" s="94">
        <f>+'tab20'!M34</f>
        <v>3422.84</v>
      </c>
      <c r="D36" s="95">
        <v>154.02600000000001</v>
      </c>
      <c r="E36" s="96">
        <f t="shared" si="8"/>
        <v>3841.547</v>
      </c>
      <c r="F36" s="96">
        <v>1458.3</v>
      </c>
      <c r="G36" s="95">
        <f t="shared" ref="G36:G41" si="9">+I36-F36-H36</f>
        <v>1486.3710000000001</v>
      </c>
      <c r="H36" s="95">
        <v>405.488</v>
      </c>
      <c r="I36" s="96">
        <f t="shared" si="0"/>
        <v>3350.1590000000001</v>
      </c>
      <c r="J36" s="95">
        <v>491.38799999999998</v>
      </c>
      <c r="K36" s="31">
        <v>21.8</v>
      </c>
      <c r="L36" s="33">
        <v>9.3000000000000007</v>
      </c>
    </row>
    <row r="37" spans="1:12">
      <c r="A37" s="115" t="s">
        <v>417</v>
      </c>
      <c r="B37" s="95">
        <f t="shared" si="7"/>
        <v>491.38799999999998</v>
      </c>
      <c r="C37" s="94">
        <f>+'tab20'!M35</f>
        <v>3036.46</v>
      </c>
      <c r="D37" s="95">
        <v>102.467</v>
      </c>
      <c r="E37" s="96">
        <f t="shared" si="8"/>
        <v>3630.3150000000001</v>
      </c>
      <c r="F37" s="96">
        <v>1711.5</v>
      </c>
      <c r="G37" s="95">
        <f t="shared" si="9"/>
        <v>1134.4200000000003</v>
      </c>
      <c r="H37" s="95">
        <v>395.02299999999997</v>
      </c>
      <c r="I37" s="96">
        <f t="shared" si="0"/>
        <v>3240.9430000000002</v>
      </c>
      <c r="J37" s="95">
        <v>389.37200000000001</v>
      </c>
      <c r="K37" s="31">
        <v>15.1</v>
      </c>
      <c r="L37" s="33">
        <v>9.3000000000000007</v>
      </c>
    </row>
    <row r="38" spans="1:12">
      <c r="A38" s="115" t="s">
        <v>420</v>
      </c>
      <c r="B38" s="95">
        <f t="shared" si="7"/>
        <v>389.37200000000001</v>
      </c>
      <c r="C38" s="94">
        <f>+'tab20'!M36</f>
        <v>2735.57</v>
      </c>
      <c r="D38" s="95">
        <v>89.617000000000004</v>
      </c>
      <c r="E38" s="96">
        <f t="shared" si="8"/>
        <v>3214.5590000000002</v>
      </c>
      <c r="F38" s="96">
        <v>1295.9680000000001</v>
      </c>
      <c r="G38" s="95">
        <f t="shared" si="9"/>
        <v>1306.1620000000003</v>
      </c>
      <c r="H38" s="95">
        <v>353.76</v>
      </c>
      <c r="I38" s="96">
        <f t="shared" si="0"/>
        <v>2955.8900000000003</v>
      </c>
      <c r="J38" s="95">
        <v>258.66899999999998</v>
      </c>
      <c r="K38" s="31">
        <v>23.3</v>
      </c>
      <c r="L38" s="33">
        <v>10.09</v>
      </c>
    </row>
    <row r="39" spans="1:12">
      <c r="A39" s="115" t="s">
        <v>425</v>
      </c>
      <c r="B39" s="95">
        <f t="shared" si="7"/>
        <v>258.66899999999998</v>
      </c>
      <c r="C39" s="94">
        <f>+'tab20'!M37</f>
        <v>2038.2750000000001</v>
      </c>
      <c r="D39" s="95">
        <v>97.185000000000002</v>
      </c>
      <c r="E39" s="96">
        <f t="shared" si="8"/>
        <v>2394.1289999999999</v>
      </c>
      <c r="F39" s="96">
        <v>770.25300000000004</v>
      </c>
      <c r="G39" s="95">
        <f t="shared" si="9"/>
        <v>1199.2509999999997</v>
      </c>
      <c r="H39" s="95">
        <v>233.77900000000002</v>
      </c>
      <c r="I39" s="96">
        <f t="shared" si="0"/>
        <v>2203.2829999999999</v>
      </c>
      <c r="J39" s="95">
        <v>190.846</v>
      </c>
      <c r="K39" s="31">
        <v>29.1</v>
      </c>
      <c r="L39" s="33">
        <v>10.09</v>
      </c>
    </row>
    <row r="40" spans="1:12">
      <c r="A40" s="115" t="s">
        <v>438</v>
      </c>
      <c r="B40" s="95">
        <f t="shared" si="7"/>
        <v>190.846</v>
      </c>
      <c r="C40" s="94">
        <f>+'tab20'!M38</f>
        <v>2736.06</v>
      </c>
      <c r="D40" s="95">
        <v>117.896</v>
      </c>
      <c r="E40" s="96">
        <f t="shared" si="8"/>
        <v>3044.8020000000001</v>
      </c>
      <c r="F40" s="96">
        <v>993.82799999999997</v>
      </c>
      <c r="G40" s="95">
        <f t="shared" si="9"/>
        <v>1411.3570000000002</v>
      </c>
      <c r="H40" s="95">
        <v>300.74399999999997</v>
      </c>
      <c r="I40" s="96">
        <f t="shared" si="0"/>
        <v>2705.9290000000001</v>
      </c>
      <c r="J40" s="95">
        <v>338.87300000000005</v>
      </c>
      <c r="K40" s="31">
        <v>25.4</v>
      </c>
      <c r="L40" s="33">
        <v>10.09</v>
      </c>
    </row>
    <row r="41" spans="1:12">
      <c r="A41" s="115" t="s">
        <v>494</v>
      </c>
      <c r="B41" s="95">
        <f>+J40</f>
        <v>338.87300000000005</v>
      </c>
      <c r="C41" s="94">
        <f>+'tab20'!M39</f>
        <v>2021.7649999999999</v>
      </c>
      <c r="D41" s="95">
        <v>143.839</v>
      </c>
      <c r="E41" s="96">
        <f t="shared" si="8"/>
        <v>2504.4769999999999</v>
      </c>
      <c r="F41" s="96">
        <v>1020.18</v>
      </c>
      <c r="G41" s="95">
        <f t="shared" si="9"/>
        <v>1020.5450000000003</v>
      </c>
      <c r="H41" s="95">
        <v>264.00299999999999</v>
      </c>
      <c r="I41" s="96">
        <f t="shared" si="0"/>
        <v>2304.7280000000001</v>
      </c>
      <c r="J41" s="95">
        <v>199.749</v>
      </c>
      <c r="K41" s="31">
        <v>21.4</v>
      </c>
      <c r="L41" s="33">
        <v>10.09</v>
      </c>
    </row>
    <row r="42" spans="1:12">
      <c r="A42" s="115" t="s">
        <v>492</v>
      </c>
      <c r="B42" s="95">
        <f>+J41</f>
        <v>199.749</v>
      </c>
      <c r="C42" s="94">
        <f>+'tab20'!M40</f>
        <v>2219.0500000000002</v>
      </c>
      <c r="D42" s="217">
        <v>164.09099999999998</v>
      </c>
      <c r="E42" s="96">
        <f t="shared" si="8"/>
        <v>2582.89</v>
      </c>
      <c r="F42" s="218">
        <v>807</v>
      </c>
      <c r="G42" s="95">
        <f>+I42-F42-H42</f>
        <v>1283.3499999999997</v>
      </c>
      <c r="H42" s="217">
        <v>255.32300000000001</v>
      </c>
      <c r="I42" s="96">
        <f t="shared" si="0"/>
        <v>2345.6729999999998</v>
      </c>
      <c r="J42" s="217">
        <v>237.21699999999998</v>
      </c>
      <c r="K42" s="206">
        <v>21.7</v>
      </c>
      <c r="L42" s="33">
        <v>10.09</v>
      </c>
    </row>
    <row r="43" spans="1:12">
      <c r="A43" s="115" t="s">
        <v>505</v>
      </c>
      <c r="B43" s="95">
        <f>+J42</f>
        <v>237.21699999999998</v>
      </c>
      <c r="C43" s="94">
        <f>+'tab20'!M41</f>
        <v>2923.73</v>
      </c>
      <c r="D43" s="217">
        <v>157.75299999999999</v>
      </c>
      <c r="E43" s="96">
        <f t="shared" si="8"/>
        <v>3318.7000000000003</v>
      </c>
      <c r="F43" s="218">
        <v>1091</v>
      </c>
      <c r="G43" s="95">
        <f>+I43-F43-H43</f>
        <v>1597.6860000000001</v>
      </c>
      <c r="H43" s="217">
        <v>217.976</v>
      </c>
      <c r="I43" s="96">
        <f t="shared" si="0"/>
        <v>2906.6620000000003</v>
      </c>
      <c r="J43" s="217">
        <v>412.03800000000001</v>
      </c>
      <c r="K43" s="206">
        <v>19.600000000000001</v>
      </c>
      <c r="L43" s="33">
        <v>10.09</v>
      </c>
    </row>
    <row r="44" spans="1:12">
      <c r="A44" s="115" t="s">
        <v>498</v>
      </c>
      <c r="B44" s="95">
        <f>+J43</f>
        <v>412.03800000000001</v>
      </c>
      <c r="C44" s="94">
        <f>+'tab20'!M42</f>
        <v>2651.6349999999998</v>
      </c>
      <c r="D44" s="217">
        <v>176.24700000000001</v>
      </c>
      <c r="E44" s="96">
        <f t="shared" si="8"/>
        <v>3239.9199999999996</v>
      </c>
      <c r="F44" s="218">
        <v>1120</v>
      </c>
      <c r="G44" s="95">
        <f>+I44-F44-H44</f>
        <v>1332.0289999999995</v>
      </c>
      <c r="H44" s="217">
        <v>198.303</v>
      </c>
      <c r="I44" s="96">
        <f t="shared" si="0"/>
        <v>2650.3319999999994</v>
      </c>
      <c r="J44" s="217">
        <v>589.58799999999997</v>
      </c>
      <c r="K44" s="206">
        <v>17.350000000000001</v>
      </c>
      <c r="L44" s="33">
        <v>10.09</v>
      </c>
    </row>
    <row r="45" spans="1:12">
      <c r="A45" s="129" t="s">
        <v>636</v>
      </c>
      <c r="B45" s="95">
        <f>+J44</f>
        <v>589.58799999999997</v>
      </c>
      <c r="C45" s="96">
        <f>+'tab20'!M43</f>
        <v>2137.75</v>
      </c>
      <c r="D45" s="217">
        <v>213.929</v>
      </c>
      <c r="E45" s="96">
        <f t="shared" si="8"/>
        <v>2941.2669999999998</v>
      </c>
      <c r="F45" s="218">
        <v>1070</v>
      </c>
      <c r="G45" s="95">
        <f>+I45-F45-H45</f>
        <v>1312.2389999999996</v>
      </c>
      <c r="H45" s="217">
        <v>173</v>
      </c>
      <c r="I45" s="96">
        <f t="shared" si="0"/>
        <v>2555.2389999999996</v>
      </c>
      <c r="J45" s="217">
        <v>386.02800000000002</v>
      </c>
      <c r="K45" s="206">
        <v>17.2</v>
      </c>
      <c r="L45" s="73">
        <v>10.09</v>
      </c>
    </row>
    <row r="46" spans="1:12">
      <c r="A46" s="136" t="s">
        <v>635</v>
      </c>
      <c r="B46" s="97">
        <f>J45</f>
        <v>386.02800000000002</v>
      </c>
      <c r="C46" s="98">
        <f>+'tab20'!M44</f>
        <v>2116.41</v>
      </c>
      <c r="D46" s="262">
        <v>210</v>
      </c>
      <c r="E46" s="98">
        <f t="shared" si="8"/>
        <v>2712.4380000000001</v>
      </c>
      <c r="F46" s="256">
        <v>1060</v>
      </c>
      <c r="G46" s="97">
        <f>+I46-F46-H46</f>
        <v>1206.4380000000001</v>
      </c>
      <c r="H46" s="262">
        <v>130</v>
      </c>
      <c r="I46" s="98">
        <f t="shared" si="0"/>
        <v>2396.4380000000001</v>
      </c>
      <c r="J46" s="262">
        <v>316</v>
      </c>
      <c r="K46" s="313" t="s">
        <v>664</v>
      </c>
      <c r="L46" s="34">
        <v>10.09</v>
      </c>
    </row>
    <row r="47" spans="1:12" s="6" customFormat="1" ht="12" customHeight="1">
      <c r="A47" s="107" t="s">
        <v>381</v>
      </c>
      <c r="B47" s="107" t="s">
        <v>487</v>
      </c>
    </row>
    <row r="48" spans="1:12" s="6" customFormat="1" ht="12" customHeight="1">
      <c r="A48" s="107" t="s">
        <v>545</v>
      </c>
    </row>
    <row r="49" spans="1:12" ht="10.199999999999999" customHeight="1">
      <c r="A49" s="153" t="s">
        <v>546</v>
      </c>
    </row>
    <row r="50" spans="1:12">
      <c r="A50" s="153" t="s">
        <v>547</v>
      </c>
      <c r="K50" s="270"/>
      <c r="L50" s="270" t="s">
        <v>679</v>
      </c>
    </row>
  </sheetData>
  <phoneticPr fontId="0" type="noConversion"/>
  <pageMargins left="0.7" right="0.7" top="0.75" bottom="0.75" header="0.3" footer="0.3"/>
  <pageSetup scale="35" firstPageNumber="49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0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1.42578125" customWidth="1"/>
    <col min="2" max="10" width="13.28515625" customWidth="1"/>
  </cols>
  <sheetData>
    <row r="1" spans="1:11">
      <c r="A1" s="114" t="s">
        <v>639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t="s">
        <v>107</v>
      </c>
      <c r="B2" s="393"/>
      <c r="C2" s="311" t="s">
        <v>119</v>
      </c>
      <c r="D2" s="286"/>
      <c r="E2" s="286"/>
      <c r="F2" s="3"/>
      <c r="G2" s="275" t="s">
        <v>117</v>
      </c>
      <c r="H2" s="392"/>
      <c r="I2" s="7" t="s">
        <v>143</v>
      </c>
      <c r="J2" s="187" t="s">
        <v>118</v>
      </c>
    </row>
    <row r="3" spans="1:11">
      <c r="A3" t="s">
        <v>264</v>
      </c>
      <c r="B3" s="364" t="s">
        <v>141</v>
      </c>
      <c r="C3" s="7" t="s">
        <v>66</v>
      </c>
      <c r="D3" s="7" t="s">
        <v>88</v>
      </c>
      <c r="E3" s="7" t="s">
        <v>176</v>
      </c>
      <c r="F3" s="7" t="s">
        <v>142</v>
      </c>
      <c r="G3" s="7" t="s">
        <v>90</v>
      </c>
      <c r="H3" s="367" t="s">
        <v>3</v>
      </c>
      <c r="I3" s="7" t="s">
        <v>110</v>
      </c>
      <c r="J3" s="172" t="s">
        <v>250</v>
      </c>
    </row>
    <row r="4" spans="1:11">
      <c r="A4" t="s">
        <v>140</v>
      </c>
      <c r="B4" s="364" t="s">
        <v>110</v>
      </c>
      <c r="H4" s="389"/>
      <c r="J4" s="10" t="s">
        <v>491</v>
      </c>
    </row>
    <row r="5" spans="1:11">
      <c r="A5" s="1"/>
      <c r="B5" s="365"/>
      <c r="C5" s="1"/>
      <c r="D5" s="1"/>
      <c r="E5" s="1"/>
      <c r="F5" s="1"/>
      <c r="G5" s="1"/>
      <c r="H5" s="368"/>
      <c r="I5" s="1"/>
      <c r="J5" s="175" t="s">
        <v>265</v>
      </c>
    </row>
    <row r="6" spans="1:11">
      <c r="C6" s="285"/>
      <c r="D6" s="285"/>
      <c r="E6" s="312" t="s">
        <v>356</v>
      </c>
      <c r="F6" s="285"/>
      <c r="G6" s="285"/>
      <c r="H6" s="285"/>
      <c r="I6" s="285"/>
      <c r="J6" s="145" t="s">
        <v>287</v>
      </c>
    </row>
    <row r="7" spans="1:11">
      <c r="J7" s="107"/>
    </row>
    <row r="8" spans="1:11">
      <c r="A8" s="10" t="s">
        <v>273</v>
      </c>
      <c r="B8" s="99">
        <v>4</v>
      </c>
      <c r="C8" s="100">
        <v>483.9</v>
      </c>
      <c r="D8" s="100">
        <v>4</v>
      </c>
      <c r="E8" s="100">
        <f>SUM(B8:D8)</f>
        <v>491.9</v>
      </c>
      <c r="F8" s="100">
        <f>+H8-G8</f>
        <v>488.9</v>
      </c>
      <c r="G8" s="99">
        <v>0</v>
      </c>
      <c r="H8" s="100">
        <f t="shared" ref="H8:H44" si="0">+E8-I8</f>
        <v>488.9</v>
      </c>
      <c r="I8" s="99">
        <v>3</v>
      </c>
      <c r="J8" s="186">
        <v>110.92</v>
      </c>
      <c r="K8" s="12"/>
    </row>
    <row r="9" spans="1:11">
      <c r="A9" s="10" t="s">
        <v>274</v>
      </c>
      <c r="B9" s="99">
        <f t="shared" ref="B9:B28" si="1">+I8</f>
        <v>3</v>
      </c>
      <c r="C9" s="100">
        <v>221.56451100000001</v>
      </c>
      <c r="D9" s="100">
        <v>3.3069329999999999</v>
      </c>
      <c r="E9" s="100">
        <f>SUM(B9:D9)</f>
        <v>227.871444</v>
      </c>
      <c r="F9" s="100">
        <f>+H9-G9</f>
        <v>220.15526700000001</v>
      </c>
      <c r="G9" s="99">
        <v>0</v>
      </c>
      <c r="H9" s="100">
        <f t="shared" si="0"/>
        <v>220.15526700000001</v>
      </c>
      <c r="I9" s="99">
        <v>7.7161770000000001</v>
      </c>
      <c r="J9" s="186">
        <v>106.46</v>
      </c>
      <c r="K9" s="12"/>
    </row>
    <row r="10" spans="1:11">
      <c r="A10" s="10" t="s">
        <v>275</v>
      </c>
      <c r="B10" s="99">
        <f t="shared" si="1"/>
        <v>7.7161770000000001</v>
      </c>
      <c r="C10" s="100">
        <v>478.40297399999997</v>
      </c>
      <c r="D10" s="100">
        <v>4.4092440000000002</v>
      </c>
      <c r="E10" s="100">
        <f t="shared" ref="E10:E30" si="2">SUM(B10:D10)</f>
        <v>490.52839499999999</v>
      </c>
      <c r="F10" s="100">
        <f t="shared" ref="F10:F30" si="3">+H10-G10</f>
        <v>485.01684</v>
      </c>
      <c r="G10" s="99">
        <v>0</v>
      </c>
      <c r="H10" s="100">
        <f t="shared" si="0"/>
        <v>485.01684</v>
      </c>
      <c r="I10" s="99">
        <v>5.5115550000000004</v>
      </c>
      <c r="J10" s="186">
        <v>100.07</v>
      </c>
      <c r="K10" s="12"/>
    </row>
    <row r="11" spans="1:11">
      <c r="A11" s="10" t="s">
        <v>276</v>
      </c>
      <c r="B11" s="99">
        <f t="shared" si="1"/>
        <v>5.5115550000000004</v>
      </c>
      <c r="C11" s="100">
        <v>292.112415</v>
      </c>
      <c r="D11" s="100">
        <v>5.5115550000000004</v>
      </c>
      <c r="E11" s="100">
        <f t="shared" si="2"/>
        <v>303.13552499999997</v>
      </c>
      <c r="F11" s="100">
        <f t="shared" si="3"/>
        <v>270.06619499999999</v>
      </c>
      <c r="G11" s="99">
        <v>27.557774999999999</v>
      </c>
      <c r="H11" s="100">
        <f t="shared" si="0"/>
        <v>297.62396999999999</v>
      </c>
      <c r="I11" s="99">
        <v>5.5115550000000004</v>
      </c>
      <c r="J11" s="186">
        <v>111.18</v>
      </c>
      <c r="K11" s="12"/>
    </row>
    <row r="12" spans="1:11">
      <c r="A12" s="10" t="s">
        <v>277</v>
      </c>
      <c r="B12" s="99">
        <f t="shared" si="1"/>
        <v>5.5115550000000004</v>
      </c>
      <c r="C12" s="100">
        <v>353.75585074200001</v>
      </c>
      <c r="D12" s="100">
        <v>5.5115550000000004</v>
      </c>
      <c r="E12" s="100">
        <f t="shared" si="2"/>
        <v>364.77896074199998</v>
      </c>
      <c r="F12" s="100">
        <f t="shared" si="3"/>
        <v>343.83505174200002</v>
      </c>
      <c r="G12" s="99">
        <v>15.432354</v>
      </c>
      <c r="H12" s="100">
        <f t="shared" si="0"/>
        <v>359.26740574199999</v>
      </c>
      <c r="I12" s="99">
        <v>5.5115550000000004</v>
      </c>
      <c r="J12" s="186">
        <v>52.33</v>
      </c>
      <c r="K12" s="12"/>
    </row>
    <row r="13" spans="1:11">
      <c r="A13" s="10" t="s">
        <v>278</v>
      </c>
      <c r="B13" s="99">
        <f t="shared" si="1"/>
        <v>5.5115550000000004</v>
      </c>
      <c r="C13" s="100">
        <v>393.52502700000002</v>
      </c>
      <c r="D13" s="100">
        <v>5.5115550000000004</v>
      </c>
      <c r="E13" s="100">
        <f t="shared" si="2"/>
        <v>404.548137</v>
      </c>
      <c r="F13" s="100">
        <f t="shared" si="3"/>
        <v>350.534898</v>
      </c>
      <c r="G13" s="99">
        <v>48.501683999999997</v>
      </c>
      <c r="H13" s="100">
        <f t="shared" si="0"/>
        <v>399.03658200000001</v>
      </c>
      <c r="I13" s="99">
        <v>5.5115550000000004</v>
      </c>
      <c r="J13" s="186">
        <v>68</v>
      </c>
      <c r="K13" s="12"/>
    </row>
    <row r="14" spans="1:11">
      <c r="A14" s="10" t="s">
        <v>279</v>
      </c>
      <c r="B14" s="99">
        <f t="shared" si="1"/>
        <v>5.5115550000000004</v>
      </c>
      <c r="C14" s="100">
        <v>336.20485500000001</v>
      </c>
      <c r="D14" s="100">
        <v>5.5115550000000004</v>
      </c>
      <c r="E14" s="100">
        <f t="shared" si="2"/>
        <v>347.22796499999998</v>
      </c>
      <c r="F14" s="100">
        <f t="shared" si="3"/>
        <v>295.11226829999998</v>
      </c>
      <c r="G14" s="99">
        <v>46.604141700000007</v>
      </c>
      <c r="H14" s="100">
        <f t="shared" si="0"/>
        <v>341.71641</v>
      </c>
      <c r="I14" s="99">
        <v>5.5115550000000004</v>
      </c>
      <c r="J14" s="186">
        <v>75.86</v>
      </c>
      <c r="K14" s="12"/>
    </row>
    <row r="15" spans="1:11">
      <c r="A15" s="10" t="s">
        <v>280</v>
      </c>
      <c r="B15" s="99">
        <f t="shared" si="1"/>
        <v>5.5115550000000004</v>
      </c>
      <c r="C15" s="100">
        <v>469.7</v>
      </c>
      <c r="D15" s="100">
        <v>0</v>
      </c>
      <c r="E15" s="100">
        <f t="shared" si="2"/>
        <v>475.21155499999998</v>
      </c>
      <c r="F15" s="100">
        <f t="shared" si="3"/>
        <v>419.48831099999995</v>
      </c>
      <c r="G15" s="99">
        <v>51.314</v>
      </c>
      <c r="H15" s="100">
        <f t="shared" si="0"/>
        <v>470.80231099999997</v>
      </c>
      <c r="I15" s="99">
        <v>4.4092440000000002</v>
      </c>
      <c r="J15" s="186">
        <v>103.42</v>
      </c>
      <c r="K15" s="12"/>
    </row>
    <row r="16" spans="1:11">
      <c r="A16" s="10" t="s">
        <v>281</v>
      </c>
      <c r="B16" s="99">
        <f t="shared" si="1"/>
        <v>4.4092440000000002</v>
      </c>
      <c r="C16" s="100">
        <v>320.60000000000002</v>
      </c>
      <c r="D16" s="100">
        <v>13.8757524</v>
      </c>
      <c r="E16" s="100">
        <f t="shared" si="2"/>
        <v>338.88499640000003</v>
      </c>
      <c r="F16" s="100">
        <f t="shared" si="3"/>
        <v>328.78458850000004</v>
      </c>
      <c r="G16" s="99">
        <v>6.7934749000000005</v>
      </c>
      <c r="H16" s="100">
        <f t="shared" si="0"/>
        <v>335.57806340000002</v>
      </c>
      <c r="I16" s="99">
        <v>3.3069329999999999</v>
      </c>
      <c r="J16" s="186">
        <v>119.99</v>
      </c>
      <c r="K16" s="12"/>
    </row>
    <row r="17" spans="1:11">
      <c r="A17" s="10" t="s">
        <v>9</v>
      </c>
      <c r="B17" s="99">
        <f t="shared" si="1"/>
        <v>3.3069329999999999</v>
      </c>
      <c r="C17" s="100">
        <v>290.8</v>
      </c>
      <c r="D17" s="100">
        <v>13.817330500000001</v>
      </c>
      <c r="E17" s="100">
        <f t="shared" si="2"/>
        <v>307.92426350000005</v>
      </c>
      <c r="F17" s="100">
        <f t="shared" si="3"/>
        <v>299.25153480000006</v>
      </c>
      <c r="G17" s="99">
        <v>3.2727287</v>
      </c>
      <c r="H17" s="100">
        <f t="shared" si="0"/>
        <v>302.52426350000007</v>
      </c>
      <c r="I17" s="99">
        <v>5.4</v>
      </c>
      <c r="J17" s="186">
        <v>97.13</v>
      </c>
      <c r="K17" s="12"/>
    </row>
    <row r="18" spans="1:11">
      <c r="A18" s="10" t="s">
        <v>10</v>
      </c>
      <c r="B18" s="99">
        <f t="shared" si="1"/>
        <v>5.4</v>
      </c>
      <c r="C18" s="100">
        <v>323</v>
      </c>
      <c r="D18" s="100">
        <v>20.043120900000002</v>
      </c>
      <c r="E18" s="100">
        <f t="shared" si="2"/>
        <v>348.4431209</v>
      </c>
      <c r="F18" s="100">
        <f t="shared" si="3"/>
        <v>337.46204110000002</v>
      </c>
      <c r="G18" s="99">
        <v>5.9810798000000007</v>
      </c>
      <c r="H18" s="100">
        <f t="shared" si="0"/>
        <v>343.4431209</v>
      </c>
      <c r="I18" s="99">
        <v>5</v>
      </c>
      <c r="J18" s="186">
        <v>88.01</v>
      </c>
      <c r="K18" s="12"/>
    </row>
    <row r="19" spans="1:11">
      <c r="A19" s="10" t="s">
        <v>11</v>
      </c>
      <c r="B19" s="99">
        <f t="shared" si="1"/>
        <v>5</v>
      </c>
      <c r="C19" s="100">
        <v>549</v>
      </c>
      <c r="D19" s="100">
        <v>8</v>
      </c>
      <c r="E19" s="100">
        <f t="shared" si="2"/>
        <v>562</v>
      </c>
      <c r="F19" s="100">
        <f t="shared" si="3"/>
        <v>495.92994759999999</v>
      </c>
      <c r="G19" s="99">
        <v>59.070052400000002</v>
      </c>
      <c r="H19" s="100">
        <f t="shared" si="0"/>
        <v>555</v>
      </c>
      <c r="I19" s="99">
        <v>7</v>
      </c>
      <c r="J19" s="186">
        <v>76.8</v>
      </c>
      <c r="K19" s="12"/>
    </row>
    <row r="20" spans="1:11">
      <c r="A20" s="10" t="s">
        <v>12</v>
      </c>
      <c r="B20" s="99">
        <f t="shared" si="1"/>
        <v>7</v>
      </c>
      <c r="C20" s="100">
        <v>484.8</v>
      </c>
      <c r="D20" s="100">
        <v>5</v>
      </c>
      <c r="E20" s="100">
        <f t="shared" si="2"/>
        <v>496.8</v>
      </c>
      <c r="F20" s="100">
        <f t="shared" si="3"/>
        <v>442.2207737</v>
      </c>
      <c r="G20" s="99">
        <v>52.779226300000005</v>
      </c>
      <c r="H20" s="100">
        <f t="shared" si="0"/>
        <v>495</v>
      </c>
      <c r="I20" s="99">
        <v>1.8</v>
      </c>
      <c r="J20" s="186">
        <v>90.04</v>
      </c>
      <c r="K20" s="12"/>
    </row>
    <row r="21" spans="1:11">
      <c r="A21" s="10" t="s">
        <v>13</v>
      </c>
      <c r="B21" s="99">
        <f t="shared" si="1"/>
        <v>1.8</v>
      </c>
      <c r="C21" s="100">
        <v>360</v>
      </c>
      <c r="D21" s="100">
        <v>4.5999999999999996</v>
      </c>
      <c r="E21" s="100">
        <f t="shared" si="2"/>
        <v>366.40000000000003</v>
      </c>
      <c r="F21" s="100">
        <f t="shared" si="3"/>
        <v>320.50797690000002</v>
      </c>
      <c r="G21" s="99">
        <v>40.892023100000003</v>
      </c>
      <c r="H21" s="100">
        <f t="shared" si="0"/>
        <v>361.40000000000003</v>
      </c>
      <c r="I21" s="99">
        <v>5</v>
      </c>
      <c r="J21" s="186">
        <v>94.59</v>
      </c>
      <c r="K21" s="12"/>
    </row>
    <row r="22" spans="1:11">
      <c r="A22" s="10" t="s">
        <v>14</v>
      </c>
      <c r="B22" s="99">
        <f t="shared" si="1"/>
        <v>5</v>
      </c>
      <c r="C22" s="100">
        <v>720</v>
      </c>
      <c r="D22" s="100">
        <v>0.31966699999999998</v>
      </c>
      <c r="E22" s="100">
        <f t="shared" si="2"/>
        <v>725.31966699999998</v>
      </c>
      <c r="F22" s="100">
        <f t="shared" si="3"/>
        <v>622.73194569999998</v>
      </c>
      <c r="G22" s="99">
        <v>97.587721300000013</v>
      </c>
      <c r="H22" s="100">
        <f t="shared" si="0"/>
        <v>720.31966699999998</v>
      </c>
      <c r="I22" s="99">
        <v>5</v>
      </c>
      <c r="J22" s="186">
        <v>62.7</v>
      </c>
      <c r="K22" s="12"/>
    </row>
    <row r="23" spans="1:11">
      <c r="A23" s="10" t="s">
        <v>15</v>
      </c>
      <c r="B23" s="99">
        <f t="shared" si="1"/>
        <v>5</v>
      </c>
      <c r="C23" s="100">
        <v>505</v>
      </c>
      <c r="D23" s="100">
        <v>0</v>
      </c>
      <c r="E23" s="100">
        <f t="shared" si="2"/>
        <v>510</v>
      </c>
      <c r="F23" s="100">
        <f t="shared" si="3"/>
        <v>477.61445880000002</v>
      </c>
      <c r="G23" s="99">
        <v>27.385541200000002</v>
      </c>
      <c r="H23" s="100">
        <f t="shared" si="0"/>
        <v>505</v>
      </c>
      <c r="I23" s="99">
        <v>5</v>
      </c>
      <c r="J23" s="186">
        <v>123.75</v>
      </c>
      <c r="K23" s="12"/>
    </row>
    <row r="24" spans="1:11">
      <c r="A24" s="10" t="s">
        <v>16</v>
      </c>
      <c r="B24" s="99">
        <f t="shared" si="1"/>
        <v>5</v>
      </c>
      <c r="C24" s="100">
        <v>485</v>
      </c>
      <c r="D24" s="100">
        <v>0.13778750000000001</v>
      </c>
      <c r="E24" s="100">
        <f t="shared" si="2"/>
        <v>490.1377875</v>
      </c>
      <c r="F24" s="100">
        <f t="shared" si="3"/>
        <v>462.00491970000002</v>
      </c>
      <c r="G24" s="99">
        <v>23.132867800000003</v>
      </c>
      <c r="H24" s="100">
        <f t="shared" si="0"/>
        <v>485.1377875</v>
      </c>
      <c r="I24" s="99">
        <v>5</v>
      </c>
      <c r="J24" s="186">
        <v>110.6</v>
      </c>
      <c r="K24" s="12"/>
    </row>
    <row r="25" spans="1:11">
      <c r="A25" s="10" t="s">
        <v>17</v>
      </c>
      <c r="B25" s="99">
        <f t="shared" si="1"/>
        <v>5</v>
      </c>
      <c r="C25" s="100">
        <v>545</v>
      </c>
      <c r="D25" s="100">
        <v>0.16865189999999999</v>
      </c>
      <c r="E25" s="100">
        <f t="shared" si="2"/>
        <v>550.16865189999999</v>
      </c>
      <c r="F25" s="100">
        <f t="shared" si="3"/>
        <v>530.9644141</v>
      </c>
      <c r="G25" s="99">
        <v>14.2042378</v>
      </c>
      <c r="H25" s="100">
        <f t="shared" si="0"/>
        <v>545.16865189999999</v>
      </c>
      <c r="I25" s="99">
        <v>5</v>
      </c>
      <c r="J25" s="186">
        <v>84.2</v>
      </c>
      <c r="K25" s="12"/>
    </row>
    <row r="26" spans="1:11">
      <c r="A26" s="10" t="s">
        <v>18</v>
      </c>
      <c r="B26" s="99">
        <f t="shared" si="1"/>
        <v>5</v>
      </c>
      <c r="C26" s="100">
        <v>623</v>
      </c>
      <c r="D26" s="100">
        <v>0</v>
      </c>
      <c r="E26" s="100">
        <f t="shared" si="2"/>
        <v>628</v>
      </c>
      <c r="F26" s="100">
        <f t="shared" si="3"/>
        <v>577.5620917</v>
      </c>
      <c r="G26" s="99">
        <v>45.437908299999997</v>
      </c>
      <c r="H26" s="100">
        <f t="shared" si="0"/>
        <v>623</v>
      </c>
      <c r="I26" s="99">
        <v>5</v>
      </c>
      <c r="J26" s="186">
        <v>64.2</v>
      </c>
      <c r="K26" s="12"/>
    </row>
    <row r="27" spans="1:11">
      <c r="A27" s="10" t="s">
        <v>19</v>
      </c>
      <c r="B27" s="99">
        <f t="shared" si="1"/>
        <v>5</v>
      </c>
      <c r="C27" s="100">
        <v>603</v>
      </c>
      <c r="D27" s="100">
        <v>1.8187950000000001E-2</v>
      </c>
      <c r="E27" s="100">
        <f t="shared" si="2"/>
        <v>608.01818794999997</v>
      </c>
      <c r="F27" s="100">
        <f t="shared" si="3"/>
        <v>580.07888402999993</v>
      </c>
      <c r="G27" s="99">
        <v>22.939303920000004</v>
      </c>
      <c r="H27" s="100">
        <f t="shared" si="0"/>
        <v>603.01818794999997</v>
      </c>
      <c r="I27" s="99">
        <v>5</v>
      </c>
      <c r="J27" s="186">
        <v>75.099999999999994</v>
      </c>
      <c r="K27" s="12"/>
    </row>
    <row r="28" spans="1:11">
      <c r="A28" s="62" t="s">
        <v>337</v>
      </c>
      <c r="B28" s="101">
        <f t="shared" si="1"/>
        <v>5</v>
      </c>
      <c r="C28" s="102">
        <v>498</v>
      </c>
      <c r="D28" s="102">
        <v>4.6737986400000001E-2</v>
      </c>
      <c r="E28" s="100">
        <f t="shared" si="2"/>
        <v>503.04673798639999</v>
      </c>
      <c r="F28" s="100">
        <f t="shared" si="3"/>
        <v>489.10840774639996</v>
      </c>
      <c r="G28" s="101">
        <v>8.9383302400000009</v>
      </c>
      <c r="H28" s="100">
        <f t="shared" si="0"/>
        <v>498.04673798639999</v>
      </c>
      <c r="I28" s="101">
        <v>5</v>
      </c>
      <c r="J28" s="186">
        <v>90.5</v>
      </c>
      <c r="K28" s="12"/>
    </row>
    <row r="29" spans="1:11">
      <c r="A29" s="62" t="s">
        <v>341</v>
      </c>
      <c r="B29" s="101">
        <f t="shared" ref="B29:B34" si="4">+I28</f>
        <v>5</v>
      </c>
      <c r="C29" s="102">
        <v>390</v>
      </c>
      <c r="D29" s="102">
        <v>28.38450825</v>
      </c>
      <c r="E29" s="100">
        <f t="shared" si="2"/>
        <v>423.38450825000001</v>
      </c>
      <c r="F29" s="100">
        <f t="shared" si="3"/>
        <v>390.09838795000002</v>
      </c>
      <c r="G29" s="101">
        <v>28.286120300000004</v>
      </c>
      <c r="H29" s="100">
        <f t="shared" si="0"/>
        <v>418.38450825000001</v>
      </c>
      <c r="I29" s="101">
        <v>5</v>
      </c>
      <c r="J29" s="186">
        <v>87.27</v>
      </c>
      <c r="K29" s="12"/>
    </row>
    <row r="30" spans="1:11">
      <c r="A30" s="62" t="s">
        <v>353</v>
      </c>
      <c r="B30" s="101">
        <f t="shared" si="4"/>
        <v>5</v>
      </c>
      <c r="C30" s="102">
        <v>187</v>
      </c>
      <c r="D30" s="102">
        <v>69.108999999999995</v>
      </c>
      <c r="E30" s="100">
        <f t="shared" si="2"/>
        <v>261.10899999999998</v>
      </c>
      <c r="F30" s="100">
        <f t="shared" si="3"/>
        <v>252.67799999999997</v>
      </c>
      <c r="G30" s="101">
        <v>3.431</v>
      </c>
      <c r="H30" s="100">
        <f t="shared" si="0"/>
        <v>256.10899999999998</v>
      </c>
      <c r="I30" s="101">
        <v>5</v>
      </c>
      <c r="J30" s="186">
        <v>105</v>
      </c>
      <c r="K30" s="12"/>
    </row>
    <row r="31" spans="1:11">
      <c r="A31" s="62" t="s">
        <v>364</v>
      </c>
      <c r="B31" s="101">
        <f t="shared" si="4"/>
        <v>5</v>
      </c>
      <c r="C31" s="102">
        <v>329</v>
      </c>
      <c r="D31" s="102">
        <v>21.771000000000001</v>
      </c>
      <c r="E31" s="100">
        <f t="shared" ref="E31:E36" si="5">SUM(B31:D31)</f>
        <v>355.77100000000002</v>
      </c>
      <c r="F31" s="100">
        <f>+H31-G31</f>
        <v>337.57</v>
      </c>
      <c r="G31" s="101">
        <v>13.201000000000001</v>
      </c>
      <c r="H31" s="100">
        <f t="shared" si="0"/>
        <v>350.77100000000002</v>
      </c>
      <c r="I31" s="101">
        <v>5</v>
      </c>
      <c r="J31" s="186">
        <v>111.14</v>
      </c>
      <c r="K31" s="12"/>
    </row>
    <row r="32" spans="1:11">
      <c r="A32" s="62" t="s">
        <v>366</v>
      </c>
      <c r="B32" s="101">
        <f t="shared" si="4"/>
        <v>5</v>
      </c>
      <c r="C32" s="102">
        <v>149</v>
      </c>
      <c r="D32" s="102">
        <v>0</v>
      </c>
      <c r="E32" s="100">
        <f t="shared" si="5"/>
        <v>154</v>
      </c>
      <c r="F32" s="100">
        <f>+H32-G32</f>
        <v>145.56399999999999</v>
      </c>
      <c r="G32" s="101">
        <v>3.4359999999999999</v>
      </c>
      <c r="H32" s="100">
        <f t="shared" si="0"/>
        <v>149</v>
      </c>
      <c r="I32" s="101">
        <v>5</v>
      </c>
      <c r="J32" s="186">
        <v>85.5</v>
      </c>
      <c r="K32" s="12"/>
    </row>
    <row r="33" spans="1:11">
      <c r="A33" s="62" t="s">
        <v>385</v>
      </c>
      <c r="B33" s="101">
        <f t="shared" si="4"/>
        <v>5</v>
      </c>
      <c r="C33" s="102">
        <v>322</v>
      </c>
      <c r="D33" s="102">
        <v>5.3460000000000001</v>
      </c>
      <c r="E33" s="100">
        <f t="shared" si="5"/>
        <v>332.346</v>
      </c>
      <c r="F33" s="100">
        <f>+H33-G33</f>
        <v>320.673</v>
      </c>
      <c r="G33" s="101">
        <v>6.673</v>
      </c>
      <c r="H33" s="100">
        <f t="shared" si="0"/>
        <v>327.346</v>
      </c>
      <c r="I33" s="101">
        <v>5</v>
      </c>
      <c r="J33" s="186">
        <v>77.459999999999994</v>
      </c>
      <c r="K33" s="12"/>
    </row>
    <row r="34" spans="1:11">
      <c r="A34" s="62" t="s">
        <v>400</v>
      </c>
      <c r="B34" s="101">
        <f t="shared" si="4"/>
        <v>5</v>
      </c>
      <c r="C34" s="102">
        <v>350</v>
      </c>
      <c r="D34" s="102">
        <v>21.928999999999998</v>
      </c>
      <c r="E34" s="100">
        <f t="shared" si="5"/>
        <v>376.92899999999997</v>
      </c>
      <c r="F34" s="100">
        <f>+H34-G34</f>
        <v>357.25299999999999</v>
      </c>
      <c r="G34" s="101">
        <v>14.676</v>
      </c>
      <c r="H34" s="100">
        <f t="shared" si="0"/>
        <v>371.92899999999997</v>
      </c>
      <c r="I34" s="101">
        <v>5</v>
      </c>
      <c r="J34" s="186">
        <v>104.88</v>
      </c>
      <c r="K34" s="12"/>
    </row>
    <row r="35" spans="1:11">
      <c r="A35" s="62" t="s">
        <v>404</v>
      </c>
      <c r="B35" s="101">
        <f t="shared" ref="B35:B40" si="6">+I34</f>
        <v>5</v>
      </c>
      <c r="C35" s="102">
        <v>368</v>
      </c>
      <c r="D35" s="102">
        <v>0</v>
      </c>
      <c r="E35" s="100">
        <f t="shared" si="5"/>
        <v>373</v>
      </c>
      <c r="F35" s="100">
        <f>+H35-G35</f>
        <v>349.69600000000003</v>
      </c>
      <c r="G35" s="101">
        <v>18.303999999999998</v>
      </c>
      <c r="H35" s="100">
        <f t="shared" si="0"/>
        <v>368</v>
      </c>
      <c r="I35" s="101">
        <v>5</v>
      </c>
      <c r="J35" s="186">
        <v>172.81</v>
      </c>
      <c r="K35" s="12"/>
    </row>
    <row r="36" spans="1:11">
      <c r="A36" s="62" t="s">
        <v>411</v>
      </c>
      <c r="B36" s="101">
        <f t="shared" si="6"/>
        <v>5</v>
      </c>
      <c r="C36" s="102">
        <v>377</v>
      </c>
      <c r="D36" s="102">
        <v>0.21018425223599999</v>
      </c>
      <c r="E36" s="100">
        <f t="shared" si="5"/>
        <v>382.21018425223599</v>
      </c>
      <c r="F36" s="100">
        <f t="shared" ref="F36:F41" si="7">+H36-G36</f>
        <v>369.34518425223598</v>
      </c>
      <c r="G36" s="101">
        <v>7.8650000000000002</v>
      </c>
      <c r="H36" s="100">
        <f t="shared" si="0"/>
        <v>377.21018425223599</v>
      </c>
      <c r="I36" s="101">
        <v>5</v>
      </c>
      <c r="J36" s="186">
        <v>152.46</v>
      </c>
      <c r="K36" s="12"/>
    </row>
    <row r="37" spans="1:11">
      <c r="A37" s="62" t="s">
        <v>417</v>
      </c>
      <c r="B37" s="101">
        <f t="shared" si="6"/>
        <v>5</v>
      </c>
      <c r="C37" s="102">
        <v>421</v>
      </c>
      <c r="D37" s="102">
        <v>0.36390593043000002</v>
      </c>
      <c r="E37" s="100">
        <f t="shared" ref="E37:E42" si="8">SUM(B37:D37)</f>
        <v>426.36390593043001</v>
      </c>
      <c r="F37" s="100">
        <f t="shared" si="7"/>
        <v>414.67190593043</v>
      </c>
      <c r="G37" s="101">
        <v>6.6920000000000002</v>
      </c>
      <c r="H37" s="100">
        <f t="shared" si="0"/>
        <v>421.36390593043001</v>
      </c>
      <c r="I37" s="101">
        <v>5</v>
      </c>
      <c r="J37" s="186">
        <v>151.04</v>
      </c>
      <c r="K37" s="12"/>
    </row>
    <row r="38" spans="1:11">
      <c r="A38" s="62" t="s">
        <v>424</v>
      </c>
      <c r="B38" s="101">
        <f t="shared" si="6"/>
        <v>5</v>
      </c>
      <c r="C38" s="102">
        <v>284</v>
      </c>
      <c r="D38" s="102">
        <v>0</v>
      </c>
      <c r="E38" s="100">
        <f t="shared" si="8"/>
        <v>289</v>
      </c>
      <c r="F38" s="100">
        <f t="shared" si="7"/>
        <v>280.83300000000003</v>
      </c>
      <c r="G38" s="101">
        <v>3.1669999999999998</v>
      </c>
      <c r="H38" s="100">
        <f t="shared" si="0"/>
        <v>284</v>
      </c>
      <c r="I38" s="101">
        <v>5</v>
      </c>
      <c r="J38" s="186">
        <v>219.75</v>
      </c>
      <c r="K38" s="12"/>
    </row>
    <row r="39" spans="1:11">
      <c r="A39" s="62" t="s">
        <v>449</v>
      </c>
      <c r="B39" s="101">
        <f t="shared" si="6"/>
        <v>5</v>
      </c>
      <c r="C39" s="102">
        <v>200</v>
      </c>
      <c r="D39" s="102">
        <v>0.50124285792000001</v>
      </c>
      <c r="E39" s="100">
        <f t="shared" si="8"/>
        <v>205.50124285792</v>
      </c>
      <c r="F39" s="100">
        <f t="shared" si="7"/>
        <v>197.02724285792002</v>
      </c>
      <c r="G39" s="101">
        <v>3.4740000000000002</v>
      </c>
      <c r="H39" s="100">
        <f t="shared" si="0"/>
        <v>200.50124285792</v>
      </c>
      <c r="I39" s="101">
        <v>5</v>
      </c>
      <c r="J39" s="186">
        <v>246.75</v>
      </c>
      <c r="K39" s="12"/>
    </row>
    <row r="40" spans="1:11">
      <c r="A40" s="62" t="s">
        <v>438</v>
      </c>
      <c r="B40" s="101">
        <f t="shared" si="6"/>
        <v>5</v>
      </c>
      <c r="C40" s="102">
        <v>262</v>
      </c>
      <c r="D40" s="102">
        <v>0.43891047780299997</v>
      </c>
      <c r="E40" s="100">
        <f t="shared" si="8"/>
        <v>267.43891047780301</v>
      </c>
      <c r="F40" s="100">
        <f t="shared" si="7"/>
        <v>241.05291047780301</v>
      </c>
      <c r="G40" s="101">
        <v>21.385999999999999</v>
      </c>
      <c r="H40" s="100">
        <f t="shared" si="0"/>
        <v>262.43891047780301</v>
      </c>
      <c r="I40" s="101">
        <v>5</v>
      </c>
      <c r="J40" s="186">
        <v>241.57</v>
      </c>
      <c r="K40" s="12"/>
    </row>
    <row r="41" spans="1:11">
      <c r="A41" s="62" t="s">
        <v>464</v>
      </c>
      <c r="B41" s="101">
        <f>+I40</f>
        <v>5</v>
      </c>
      <c r="C41" s="102">
        <v>265</v>
      </c>
      <c r="D41" s="102">
        <v>11.99</v>
      </c>
      <c r="E41" s="100">
        <f t="shared" si="8"/>
        <v>281.99</v>
      </c>
      <c r="F41" s="100">
        <f t="shared" si="7"/>
        <v>268.48900000000003</v>
      </c>
      <c r="G41" s="101">
        <v>8.5009999999999994</v>
      </c>
      <c r="H41" s="100">
        <f t="shared" si="0"/>
        <v>276.99</v>
      </c>
      <c r="I41" s="101">
        <v>5</v>
      </c>
      <c r="J41" s="186">
        <v>244.94</v>
      </c>
      <c r="K41" s="12"/>
    </row>
    <row r="42" spans="1:11">
      <c r="A42" s="62" t="s">
        <v>492</v>
      </c>
      <c r="B42" s="101">
        <f>+I41</f>
        <v>5</v>
      </c>
      <c r="C42" s="219">
        <v>197</v>
      </c>
      <c r="D42" s="219">
        <v>22.504999999999999</v>
      </c>
      <c r="E42" s="100">
        <f t="shared" si="8"/>
        <v>224.505</v>
      </c>
      <c r="F42" s="100">
        <v>224</v>
      </c>
      <c r="G42" s="220">
        <v>8.1929999999999996</v>
      </c>
      <c r="H42" s="100">
        <f t="shared" si="0"/>
        <v>219.505</v>
      </c>
      <c r="I42" s="220">
        <v>5</v>
      </c>
      <c r="J42" s="221">
        <v>209.97</v>
      </c>
      <c r="K42" s="12"/>
    </row>
    <row r="43" spans="1:11">
      <c r="A43" s="62" t="s">
        <v>495</v>
      </c>
      <c r="B43" s="101">
        <f>+I42</f>
        <v>5</v>
      </c>
      <c r="C43" s="219">
        <v>278</v>
      </c>
      <c r="D43" s="219">
        <v>23.103999999999999</v>
      </c>
      <c r="E43" s="100">
        <f>SUM(B43:D43)</f>
        <v>306.10399999999998</v>
      </c>
      <c r="F43" s="100">
        <f>+H43-G43</f>
        <v>288.12599999999998</v>
      </c>
      <c r="G43" s="220">
        <v>12.978</v>
      </c>
      <c r="H43" s="100">
        <f t="shared" si="0"/>
        <v>301.10399999999998</v>
      </c>
      <c r="I43" s="220">
        <v>5</v>
      </c>
      <c r="J43" s="221">
        <v>153.16999999999999</v>
      </c>
      <c r="K43" s="12"/>
    </row>
    <row r="44" spans="1:11">
      <c r="A44" s="62" t="s">
        <v>498</v>
      </c>
      <c r="B44" s="101">
        <f>+I43</f>
        <v>5</v>
      </c>
      <c r="C44" s="219">
        <v>285</v>
      </c>
      <c r="D44" s="219">
        <v>13</v>
      </c>
      <c r="E44" s="100">
        <f>SUM(B44:D44)</f>
        <v>303</v>
      </c>
      <c r="F44" s="100">
        <f>+H44-G44</f>
        <v>293</v>
      </c>
      <c r="G44" s="220">
        <v>5</v>
      </c>
      <c r="H44" s="100">
        <f t="shared" si="0"/>
        <v>298</v>
      </c>
      <c r="I44" s="220">
        <v>5</v>
      </c>
      <c r="J44" s="221">
        <v>145.1</v>
      </c>
      <c r="K44" s="12"/>
    </row>
    <row r="45" spans="1:11">
      <c r="A45" s="129" t="s">
        <v>636</v>
      </c>
      <c r="B45" s="101">
        <f>+I44</f>
        <v>5</v>
      </c>
      <c r="C45" s="219">
        <v>267</v>
      </c>
      <c r="D45" s="219">
        <v>0.78400000000000003</v>
      </c>
      <c r="E45" s="219">
        <f>SUM(B45:D45)</f>
        <v>272.78399999999999</v>
      </c>
      <c r="F45" s="219">
        <f>+H45-G45</f>
        <v>261.36500000000001</v>
      </c>
      <c r="G45" s="220">
        <v>6.4189999999999996</v>
      </c>
      <c r="H45" s="219">
        <v>267.78399999999999</v>
      </c>
      <c r="I45" s="220">
        <v>5</v>
      </c>
      <c r="J45" s="221">
        <v>173.53</v>
      </c>
      <c r="K45" s="12"/>
    </row>
    <row r="46" spans="1:11">
      <c r="A46" s="136" t="s">
        <v>628</v>
      </c>
      <c r="B46" s="103">
        <v>5</v>
      </c>
      <c r="C46" s="263">
        <v>270</v>
      </c>
      <c r="D46" s="263">
        <v>10</v>
      </c>
      <c r="E46" s="263">
        <f>SUM(B46:D46)</f>
        <v>285</v>
      </c>
      <c r="F46" s="263">
        <f>+H46-G46</f>
        <v>270</v>
      </c>
      <c r="G46" s="264">
        <v>10</v>
      </c>
      <c r="H46" s="263">
        <v>280</v>
      </c>
      <c r="I46" s="264">
        <v>5</v>
      </c>
      <c r="J46" s="351" t="s">
        <v>665</v>
      </c>
      <c r="K46" s="12"/>
    </row>
    <row r="47" spans="1:11" s="6" customFormat="1" ht="12" customHeight="1">
      <c r="A47" s="107" t="s">
        <v>371</v>
      </c>
    </row>
    <row r="48" spans="1:11" s="6" customFormat="1" ht="12" customHeight="1">
      <c r="A48" s="107" t="s">
        <v>548</v>
      </c>
    </row>
    <row r="49" spans="1:11" ht="10.199999999999999" customHeight="1">
      <c r="A49" s="107" t="s">
        <v>549</v>
      </c>
      <c r="J49" s="270" t="s">
        <v>679</v>
      </c>
      <c r="K49" s="276"/>
    </row>
    <row r="50" spans="1:11" ht="10.199999999999999" customHeight="1"/>
  </sheetData>
  <phoneticPr fontId="0" type="noConversion"/>
  <pageMargins left="0.7" right="0.7" top="0.75" bottom="0.75" header="0.3" footer="0.3"/>
  <pageSetup scale="21" firstPageNumber="50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50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1.42578125" customWidth="1"/>
    <col min="2" max="10" width="12.85546875" customWidth="1"/>
  </cols>
  <sheetData>
    <row r="1" spans="1:10">
      <c r="A1" s="114" t="s">
        <v>640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107</v>
      </c>
      <c r="B2" s="393"/>
      <c r="C2" s="311" t="s">
        <v>119</v>
      </c>
      <c r="D2" s="286"/>
      <c r="E2" s="286"/>
      <c r="F2" s="390"/>
      <c r="G2" s="275" t="s">
        <v>117</v>
      </c>
      <c r="H2" s="392"/>
      <c r="I2" s="7" t="s">
        <v>143</v>
      </c>
      <c r="J2" s="7" t="s">
        <v>118</v>
      </c>
    </row>
    <row r="3" spans="1:10">
      <c r="A3" t="s">
        <v>100</v>
      </c>
      <c r="B3" s="364" t="s">
        <v>141</v>
      </c>
      <c r="C3" s="7" t="s">
        <v>66</v>
      </c>
      <c r="D3" s="7" t="s">
        <v>88</v>
      </c>
      <c r="E3" s="235" t="s">
        <v>3</v>
      </c>
      <c r="F3" s="364" t="s">
        <v>142</v>
      </c>
      <c r="G3" s="7" t="s">
        <v>90</v>
      </c>
      <c r="H3" s="395" t="s">
        <v>3</v>
      </c>
      <c r="I3" s="7" t="s">
        <v>110</v>
      </c>
      <c r="J3" s="7" t="s">
        <v>250</v>
      </c>
    </row>
    <row r="4" spans="1:10">
      <c r="A4" t="s">
        <v>140</v>
      </c>
      <c r="B4" s="364" t="s">
        <v>110</v>
      </c>
      <c r="F4" s="394"/>
      <c r="H4" s="389"/>
      <c r="J4" s="7" t="s">
        <v>255</v>
      </c>
    </row>
    <row r="5" spans="1:10">
      <c r="A5" s="1"/>
      <c r="B5" s="365"/>
      <c r="C5" s="1"/>
      <c r="D5" s="1"/>
      <c r="E5" s="1"/>
      <c r="F5" s="365"/>
      <c r="G5" s="1"/>
      <c r="H5" s="368"/>
      <c r="I5" s="1"/>
      <c r="J5" s="9" t="s">
        <v>169</v>
      </c>
    </row>
    <row r="6" spans="1:10">
      <c r="C6" s="274"/>
      <c r="D6" s="274"/>
      <c r="E6" s="274"/>
      <c r="F6" s="291" t="s">
        <v>282</v>
      </c>
      <c r="G6" s="274"/>
      <c r="H6" s="274"/>
      <c r="I6" s="274"/>
      <c r="J6" s="106" t="s">
        <v>453</v>
      </c>
    </row>
    <row r="7" spans="1:10">
      <c r="B7" s="105"/>
      <c r="C7" s="2"/>
      <c r="D7" s="2"/>
      <c r="E7" s="2"/>
      <c r="F7" s="2"/>
      <c r="G7" s="2"/>
      <c r="H7" s="2"/>
      <c r="I7" s="2"/>
      <c r="J7" s="106"/>
    </row>
    <row r="8" spans="1:10">
      <c r="A8" s="10" t="s">
        <v>273</v>
      </c>
      <c r="B8" s="100">
        <v>161</v>
      </c>
      <c r="C8" s="100">
        <v>657</v>
      </c>
      <c r="D8" s="100">
        <v>0</v>
      </c>
      <c r="E8" s="100">
        <f>SUM(B8:D8)</f>
        <v>818</v>
      </c>
      <c r="F8" s="100">
        <f t="shared" ref="F8:F28" si="0">+H8-G8</f>
        <v>64.11099999999999</v>
      </c>
      <c r="G8" s="100">
        <v>664.096</v>
      </c>
      <c r="H8" s="100">
        <f t="shared" ref="H8:H46" si="1">+E8-I8</f>
        <v>728.20699999999999</v>
      </c>
      <c r="I8" s="100">
        <v>89.793000000000006</v>
      </c>
      <c r="J8" s="108">
        <v>26.95</v>
      </c>
    </row>
    <row r="9" spans="1:10">
      <c r="A9" s="10" t="s">
        <v>274</v>
      </c>
      <c r="B9" s="100">
        <f t="shared" ref="B9:B28" si="2">+I8</f>
        <v>89.793000000000006</v>
      </c>
      <c r="C9" s="100">
        <v>302.03321399999999</v>
      </c>
      <c r="D9" s="100">
        <v>0</v>
      </c>
      <c r="E9" s="100">
        <f>SUM(B9:D9)</f>
        <v>391.82621399999999</v>
      </c>
      <c r="F9" s="100">
        <f t="shared" si="0"/>
        <v>138.03221400000001</v>
      </c>
      <c r="G9" s="100">
        <v>226.49</v>
      </c>
      <c r="H9" s="100">
        <f t="shared" si="1"/>
        <v>364.52221400000002</v>
      </c>
      <c r="I9" s="100">
        <v>27.303999999999998</v>
      </c>
      <c r="J9" s="108">
        <v>24.885000000000002</v>
      </c>
    </row>
    <row r="10" spans="1:10">
      <c r="A10" s="10" t="s">
        <v>275</v>
      </c>
      <c r="B10" s="100">
        <f t="shared" si="2"/>
        <v>27.303999999999998</v>
      </c>
      <c r="C10" s="100">
        <v>668.00046599999996</v>
      </c>
      <c r="D10" s="100">
        <v>0</v>
      </c>
      <c r="E10" s="100">
        <f t="shared" ref="E10:E31" si="3">SUM(B10:D10)</f>
        <v>695.30446599999993</v>
      </c>
      <c r="F10" s="100">
        <f t="shared" si="0"/>
        <v>95.554465999999934</v>
      </c>
      <c r="G10" s="100">
        <v>504.36099999999999</v>
      </c>
      <c r="H10" s="100">
        <f t="shared" si="1"/>
        <v>599.91546599999992</v>
      </c>
      <c r="I10" s="100">
        <v>95.388999999999996</v>
      </c>
      <c r="J10" s="108">
        <v>21.38</v>
      </c>
    </row>
    <row r="11" spans="1:10">
      <c r="A11" s="10" t="s">
        <v>276</v>
      </c>
      <c r="B11" s="100">
        <f t="shared" si="2"/>
        <v>95.388999999999996</v>
      </c>
      <c r="C11" s="100">
        <v>449.74288799999999</v>
      </c>
      <c r="D11" s="100">
        <v>0.98299999999999998</v>
      </c>
      <c r="E11" s="100">
        <f t="shared" si="3"/>
        <v>546.11488799999995</v>
      </c>
      <c r="F11" s="100">
        <f t="shared" si="0"/>
        <v>117.01288799999992</v>
      </c>
      <c r="G11" s="100">
        <v>414.84800000000001</v>
      </c>
      <c r="H11" s="100">
        <f t="shared" si="1"/>
        <v>531.86088799999993</v>
      </c>
      <c r="I11" s="100">
        <v>14.254</v>
      </c>
      <c r="J11" s="108">
        <v>32.33</v>
      </c>
    </row>
    <row r="12" spans="1:10">
      <c r="A12" s="10" t="s">
        <v>277</v>
      </c>
      <c r="B12" s="100">
        <f t="shared" si="2"/>
        <v>14.254</v>
      </c>
      <c r="C12" s="100">
        <v>482.81221799999997</v>
      </c>
      <c r="D12" s="100">
        <v>8.8999999999999996E-2</v>
      </c>
      <c r="E12" s="100">
        <f t="shared" si="3"/>
        <v>497.15521799999999</v>
      </c>
      <c r="F12" s="100">
        <f t="shared" si="0"/>
        <v>144.53021799999999</v>
      </c>
      <c r="G12" s="100">
        <v>287.08199999999999</v>
      </c>
      <c r="H12" s="100">
        <f t="shared" si="1"/>
        <v>431.61221799999998</v>
      </c>
      <c r="I12" s="100">
        <v>65.543000000000006</v>
      </c>
      <c r="J12" s="108">
        <v>30.01</v>
      </c>
    </row>
    <row r="13" spans="1:10">
      <c r="A13" s="10" t="s">
        <v>278</v>
      </c>
      <c r="B13" s="100">
        <f t="shared" si="2"/>
        <v>65.543000000000006</v>
      </c>
      <c r="C13" s="100">
        <v>584.22483</v>
      </c>
      <c r="D13" s="100">
        <v>0.23100000000000001</v>
      </c>
      <c r="E13" s="100">
        <f t="shared" si="3"/>
        <v>649.99883</v>
      </c>
      <c r="F13" s="100">
        <f t="shared" si="0"/>
        <v>143.31483000000003</v>
      </c>
      <c r="G13" s="100">
        <v>452.93200000000002</v>
      </c>
      <c r="H13" s="100">
        <f t="shared" si="1"/>
        <v>596.24683000000005</v>
      </c>
      <c r="I13" s="100">
        <v>53.752000000000002</v>
      </c>
      <c r="J13" s="108">
        <v>19.100000000000001</v>
      </c>
    </row>
    <row r="14" spans="1:10">
      <c r="A14" s="10" t="s">
        <v>279</v>
      </c>
      <c r="B14" s="100">
        <f t="shared" si="2"/>
        <v>53.752000000000002</v>
      </c>
      <c r="C14" s="100">
        <v>587.00585775197305</v>
      </c>
      <c r="D14" s="100">
        <v>2.5999999999999999E-2</v>
      </c>
      <c r="E14" s="100">
        <f t="shared" si="3"/>
        <v>640.78385775197296</v>
      </c>
      <c r="F14" s="100">
        <f t="shared" si="0"/>
        <v>185.21285775197299</v>
      </c>
      <c r="G14" s="100">
        <v>343.15600000000001</v>
      </c>
      <c r="H14" s="100">
        <f t="shared" si="1"/>
        <v>528.368857751973</v>
      </c>
      <c r="I14" s="100">
        <v>112.41500000000001</v>
      </c>
      <c r="J14" s="108">
        <v>15.99</v>
      </c>
    </row>
    <row r="15" spans="1:10">
      <c r="A15" s="10" t="s">
        <v>280</v>
      </c>
      <c r="B15" s="100">
        <f t="shared" si="2"/>
        <v>112.41500000000001</v>
      </c>
      <c r="C15" s="100">
        <v>831</v>
      </c>
      <c r="D15" s="100">
        <v>33.44</v>
      </c>
      <c r="E15" s="100">
        <f t="shared" si="3"/>
        <v>976.85500000000002</v>
      </c>
      <c r="F15" s="100">
        <f t="shared" si="0"/>
        <v>116.80899999999997</v>
      </c>
      <c r="G15" s="100">
        <v>702.79100000000005</v>
      </c>
      <c r="H15" s="100">
        <f t="shared" si="1"/>
        <v>819.6</v>
      </c>
      <c r="I15" s="100">
        <v>157.255</v>
      </c>
      <c r="J15" s="108">
        <v>23.49</v>
      </c>
    </row>
    <row r="16" spans="1:10">
      <c r="A16" s="10" t="s">
        <v>281</v>
      </c>
      <c r="B16" s="100">
        <f t="shared" si="2"/>
        <v>157.255</v>
      </c>
      <c r="C16" s="100">
        <v>518</v>
      </c>
      <c r="D16" s="100">
        <v>18.350999999999999</v>
      </c>
      <c r="E16" s="100">
        <f t="shared" si="3"/>
        <v>693.60599999999999</v>
      </c>
      <c r="F16" s="100">
        <f t="shared" si="0"/>
        <v>144.60339839999995</v>
      </c>
      <c r="G16" s="100">
        <v>468.048</v>
      </c>
      <c r="H16" s="100">
        <f t="shared" si="1"/>
        <v>612.65139839999995</v>
      </c>
      <c r="I16" s="100">
        <v>80.954601600000004</v>
      </c>
      <c r="J16" s="108">
        <v>22.66</v>
      </c>
    </row>
    <row r="17" spans="1:10">
      <c r="A17" s="10" t="s">
        <v>9</v>
      </c>
      <c r="B17" s="100">
        <f t="shared" si="2"/>
        <v>80.954601600000004</v>
      </c>
      <c r="C17" s="100">
        <v>475</v>
      </c>
      <c r="D17" s="100">
        <v>4.5170000000000003</v>
      </c>
      <c r="E17" s="100">
        <f t="shared" si="3"/>
        <v>560.4716016000001</v>
      </c>
      <c r="F17" s="100">
        <f t="shared" si="0"/>
        <v>172.6376016000001</v>
      </c>
      <c r="G17" s="100">
        <v>349.834</v>
      </c>
      <c r="H17" s="100">
        <f t="shared" si="1"/>
        <v>522.4716016000001</v>
      </c>
      <c r="I17" s="100">
        <v>38</v>
      </c>
      <c r="J17" s="108">
        <v>24.37</v>
      </c>
    </row>
    <row r="18" spans="1:10">
      <c r="A18" s="10" t="s">
        <v>10</v>
      </c>
      <c r="B18" s="100">
        <f t="shared" si="2"/>
        <v>38</v>
      </c>
      <c r="C18" s="100">
        <v>535.72314600000004</v>
      </c>
      <c r="D18" s="100">
        <v>32.832000000000001</v>
      </c>
      <c r="E18" s="100">
        <f t="shared" si="3"/>
        <v>606.55514600000004</v>
      </c>
      <c r="F18" s="100">
        <f t="shared" si="0"/>
        <v>200.71214600000002</v>
      </c>
      <c r="G18" s="100">
        <v>358.84300000000002</v>
      </c>
      <c r="H18" s="100">
        <f t="shared" si="1"/>
        <v>559.55514600000004</v>
      </c>
      <c r="I18" s="100">
        <v>47</v>
      </c>
      <c r="J18" s="108">
        <v>23.67</v>
      </c>
    </row>
    <row r="19" spans="1:10">
      <c r="A19" s="10" t="s">
        <v>11</v>
      </c>
      <c r="B19" s="100">
        <f t="shared" si="2"/>
        <v>47</v>
      </c>
      <c r="C19" s="100">
        <v>911</v>
      </c>
      <c r="D19" s="100">
        <v>8.8916064932520005</v>
      </c>
      <c r="E19" s="100">
        <f t="shared" si="3"/>
        <v>966.89160649325197</v>
      </c>
      <c r="F19" s="100">
        <f t="shared" si="0"/>
        <v>340.16772749725192</v>
      </c>
      <c r="G19" s="100">
        <v>526.72387899600005</v>
      </c>
      <c r="H19" s="100">
        <f t="shared" si="1"/>
        <v>866.89160649325197</v>
      </c>
      <c r="I19" s="100">
        <v>100</v>
      </c>
      <c r="J19" s="108">
        <v>21.63</v>
      </c>
    </row>
    <row r="20" spans="1:10">
      <c r="A20" s="10" t="s">
        <v>12</v>
      </c>
      <c r="B20" s="100">
        <f t="shared" si="2"/>
        <v>100</v>
      </c>
      <c r="C20" s="100">
        <v>729.6</v>
      </c>
      <c r="D20" s="100">
        <v>0.15870000000000001</v>
      </c>
      <c r="E20" s="100">
        <f t="shared" si="3"/>
        <v>829.75869999999998</v>
      </c>
      <c r="F20" s="100">
        <f t="shared" si="0"/>
        <v>187.74270000000001</v>
      </c>
      <c r="G20" s="100">
        <v>586.11599999999999</v>
      </c>
      <c r="H20" s="100">
        <f t="shared" si="1"/>
        <v>773.8587</v>
      </c>
      <c r="I20" s="100">
        <v>55.9</v>
      </c>
      <c r="J20" s="108">
        <v>25.37</v>
      </c>
    </row>
    <row r="21" spans="1:10">
      <c r="A21" s="10" t="s">
        <v>13</v>
      </c>
      <c r="B21" s="100">
        <f t="shared" si="2"/>
        <v>55.9</v>
      </c>
      <c r="C21" s="100">
        <v>580</v>
      </c>
      <c r="D21" s="100">
        <v>7.7240000000000002</v>
      </c>
      <c r="E21" s="100">
        <f t="shared" si="3"/>
        <v>643.62400000000002</v>
      </c>
      <c r="F21" s="100">
        <f t="shared" si="0"/>
        <v>128.97726029800009</v>
      </c>
      <c r="G21" s="100">
        <v>450.05373970199997</v>
      </c>
      <c r="H21" s="100">
        <f t="shared" si="1"/>
        <v>579.03100000000006</v>
      </c>
      <c r="I21" s="100">
        <v>64.593000000000004</v>
      </c>
      <c r="J21" s="108">
        <v>31.08</v>
      </c>
    </row>
    <row r="22" spans="1:10">
      <c r="A22" s="10" t="s">
        <v>14</v>
      </c>
      <c r="B22" s="100">
        <f t="shared" si="2"/>
        <v>64.593000000000004</v>
      </c>
      <c r="C22" s="100">
        <v>1165</v>
      </c>
      <c r="D22" s="100">
        <v>1.2090000000000001</v>
      </c>
      <c r="E22" s="100">
        <f t="shared" si="3"/>
        <v>1230.8020000000001</v>
      </c>
      <c r="F22" s="100">
        <f t="shared" si="0"/>
        <v>177.75000000000023</v>
      </c>
      <c r="G22" s="100">
        <v>971.40300000000002</v>
      </c>
      <c r="H22" s="100">
        <f t="shared" si="1"/>
        <v>1149.1530000000002</v>
      </c>
      <c r="I22" s="100">
        <v>81.649000000000001</v>
      </c>
      <c r="J22" s="108">
        <v>28.1</v>
      </c>
    </row>
    <row r="23" spans="1:10">
      <c r="A23" s="10" t="s">
        <v>15</v>
      </c>
      <c r="B23" s="100">
        <f t="shared" si="2"/>
        <v>81.649000000000001</v>
      </c>
      <c r="C23" s="100">
        <v>859.79399999999998</v>
      </c>
      <c r="D23" s="100">
        <v>2.028232</v>
      </c>
      <c r="E23" s="100">
        <f t="shared" si="3"/>
        <v>943.47123199999999</v>
      </c>
      <c r="F23" s="100">
        <f t="shared" si="0"/>
        <v>168.71923200000003</v>
      </c>
      <c r="G23" s="100">
        <v>627.31799999999998</v>
      </c>
      <c r="H23" s="100">
        <f t="shared" si="1"/>
        <v>796.03723200000002</v>
      </c>
      <c r="I23" s="100">
        <v>147.434</v>
      </c>
      <c r="J23" s="108">
        <v>25.4</v>
      </c>
    </row>
    <row r="24" spans="1:10">
      <c r="A24" s="10" t="s">
        <v>16</v>
      </c>
      <c r="B24" s="100">
        <f t="shared" si="2"/>
        <v>147.434</v>
      </c>
      <c r="C24" s="100">
        <v>839.95259999999996</v>
      </c>
      <c r="D24" s="100">
        <v>21.9666344</v>
      </c>
      <c r="E24" s="100">
        <f t="shared" si="3"/>
        <v>1009.3532343999999</v>
      </c>
      <c r="F24" s="100">
        <f t="shared" si="0"/>
        <v>207.29923439999993</v>
      </c>
      <c r="G24" s="100">
        <v>708.90499999999997</v>
      </c>
      <c r="H24" s="100">
        <f t="shared" si="1"/>
        <v>916.2042343999999</v>
      </c>
      <c r="I24" s="100">
        <v>93.149000000000001</v>
      </c>
      <c r="J24" s="108">
        <v>22.64</v>
      </c>
    </row>
    <row r="25" spans="1:10">
      <c r="A25" s="10" t="s">
        <v>17</v>
      </c>
      <c r="B25" s="100">
        <f t="shared" si="2"/>
        <v>93.149000000000001</v>
      </c>
      <c r="C25" s="100">
        <v>959.00099999999998</v>
      </c>
      <c r="D25" s="100">
        <v>7.6764172000000004</v>
      </c>
      <c r="E25" s="100">
        <f t="shared" si="3"/>
        <v>1059.8264172000002</v>
      </c>
      <c r="F25" s="100">
        <f t="shared" si="0"/>
        <v>185.51741720000007</v>
      </c>
      <c r="G25" s="100">
        <v>814.73900000000003</v>
      </c>
      <c r="H25" s="100">
        <f t="shared" si="1"/>
        <v>1000.2564172000001</v>
      </c>
      <c r="I25" s="100">
        <v>59.57</v>
      </c>
      <c r="J25" s="108">
        <v>27</v>
      </c>
    </row>
    <row r="26" spans="1:10">
      <c r="A26" s="10" t="s">
        <v>18</v>
      </c>
      <c r="B26" s="100">
        <f t="shared" si="2"/>
        <v>59.57</v>
      </c>
      <c r="C26" s="100">
        <v>1090</v>
      </c>
      <c r="D26" s="100">
        <v>5.1909999999999998</v>
      </c>
      <c r="E26" s="100">
        <f t="shared" si="3"/>
        <v>1154.761</v>
      </c>
      <c r="F26" s="100">
        <f t="shared" si="0"/>
        <v>233.54100000000005</v>
      </c>
      <c r="G26" s="100">
        <v>799.79399999999998</v>
      </c>
      <c r="H26" s="100">
        <f t="shared" si="1"/>
        <v>1033.335</v>
      </c>
      <c r="I26" s="100">
        <v>121.426</v>
      </c>
      <c r="J26" s="108">
        <v>20.100000000000001</v>
      </c>
    </row>
    <row r="27" spans="1:10">
      <c r="A27" s="10" t="s">
        <v>19</v>
      </c>
      <c r="B27" s="100">
        <f t="shared" si="2"/>
        <v>121.426</v>
      </c>
      <c r="C27" s="100">
        <v>1055</v>
      </c>
      <c r="D27" s="100">
        <v>4.3879999999999999</v>
      </c>
      <c r="E27" s="100">
        <f t="shared" si="3"/>
        <v>1180.8139999999999</v>
      </c>
      <c r="F27" s="102">
        <f t="shared" si="0"/>
        <v>393.68168888499997</v>
      </c>
      <c r="G27" s="100">
        <v>630.48331111499999</v>
      </c>
      <c r="H27" s="100">
        <f t="shared" si="1"/>
        <v>1024.165</v>
      </c>
      <c r="I27" s="100">
        <v>156.649</v>
      </c>
      <c r="J27" s="108">
        <v>16.68</v>
      </c>
    </row>
    <row r="28" spans="1:10">
      <c r="A28" s="62" t="s">
        <v>337</v>
      </c>
      <c r="B28" s="102">
        <f t="shared" si="2"/>
        <v>156.649</v>
      </c>
      <c r="C28" s="102">
        <v>854</v>
      </c>
      <c r="D28" s="102">
        <v>7.9328913425999996</v>
      </c>
      <c r="E28" s="100">
        <f t="shared" si="3"/>
        <v>1018.5818913426</v>
      </c>
      <c r="F28" s="102">
        <f t="shared" si="0"/>
        <v>337.59389134260005</v>
      </c>
      <c r="G28" s="102">
        <v>544.87699999999995</v>
      </c>
      <c r="H28" s="102">
        <f t="shared" si="1"/>
        <v>882.4708913426</v>
      </c>
      <c r="I28" s="102">
        <v>136.11099999999999</v>
      </c>
      <c r="J28" s="108">
        <v>15.89</v>
      </c>
    </row>
    <row r="29" spans="1:10">
      <c r="A29" s="62" t="s">
        <v>341</v>
      </c>
      <c r="B29" s="102">
        <f t="shared" ref="B29:B34" si="4">+I28</f>
        <v>136.11099999999999</v>
      </c>
      <c r="C29" s="102">
        <v>669</v>
      </c>
      <c r="D29" s="102">
        <v>36.216648367200001</v>
      </c>
      <c r="E29" s="100">
        <f t="shared" si="3"/>
        <v>841.32764836720003</v>
      </c>
      <c r="F29" s="102">
        <f t="shared" ref="F29:F34" si="5">+H29-G29</f>
        <v>365.67364836720003</v>
      </c>
      <c r="G29" s="102">
        <v>452.84199999999998</v>
      </c>
      <c r="H29" s="102">
        <f t="shared" si="1"/>
        <v>818.51564836720001</v>
      </c>
      <c r="I29" s="102">
        <v>22.812000000000001</v>
      </c>
      <c r="J29" s="108">
        <v>23.25</v>
      </c>
    </row>
    <row r="30" spans="1:10">
      <c r="A30" s="62" t="s">
        <v>353</v>
      </c>
      <c r="B30" s="102">
        <f t="shared" si="4"/>
        <v>22.812000000000001</v>
      </c>
      <c r="C30" s="102">
        <v>321</v>
      </c>
      <c r="D30" s="102">
        <v>60.750999999999998</v>
      </c>
      <c r="E30" s="100">
        <f t="shared" si="3"/>
        <v>404.56299999999999</v>
      </c>
      <c r="F30" s="102">
        <f t="shared" si="5"/>
        <v>264.21800000000002</v>
      </c>
      <c r="G30" s="102">
        <v>113.44499999999999</v>
      </c>
      <c r="H30" s="102">
        <f t="shared" si="1"/>
        <v>377.66300000000001</v>
      </c>
      <c r="I30" s="102">
        <v>26.9</v>
      </c>
      <c r="J30" s="108">
        <v>33.11</v>
      </c>
    </row>
    <row r="31" spans="1:10">
      <c r="A31" s="62" t="s">
        <v>364</v>
      </c>
      <c r="B31" s="102">
        <f t="shared" si="4"/>
        <v>26.9</v>
      </c>
      <c r="C31" s="102">
        <v>564</v>
      </c>
      <c r="D31" s="102">
        <v>25.37</v>
      </c>
      <c r="E31" s="100">
        <f t="shared" si="3"/>
        <v>616.27</v>
      </c>
      <c r="F31" s="102">
        <f t="shared" si="5"/>
        <v>339.62800000000004</v>
      </c>
      <c r="G31" s="102">
        <v>236.74199999999999</v>
      </c>
      <c r="H31" s="102">
        <f t="shared" si="1"/>
        <v>576.37</v>
      </c>
      <c r="I31" s="102">
        <v>39.9</v>
      </c>
      <c r="J31" s="108">
        <v>33.409999999999997</v>
      </c>
    </row>
    <row r="32" spans="1:10">
      <c r="A32" s="62" t="s">
        <v>366</v>
      </c>
      <c r="B32" s="102">
        <f t="shared" si="4"/>
        <v>39.9</v>
      </c>
      <c r="C32" s="102">
        <v>255</v>
      </c>
      <c r="D32" s="102">
        <v>75.400999999999996</v>
      </c>
      <c r="E32" s="100">
        <f t="shared" ref="E32:E37" si="6">SUM(B32:D32)</f>
        <v>370.30099999999999</v>
      </c>
      <c r="F32" s="102">
        <f t="shared" si="5"/>
        <v>222.98199999999997</v>
      </c>
      <c r="G32" s="102">
        <v>125.024</v>
      </c>
      <c r="H32" s="102">
        <f t="shared" si="1"/>
        <v>348.00599999999997</v>
      </c>
      <c r="I32" s="102">
        <v>22.295000000000002</v>
      </c>
      <c r="J32" s="108">
        <v>43.78</v>
      </c>
    </row>
    <row r="33" spans="1:10">
      <c r="A33" s="62" t="s">
        <v>385</v>
      </c>
      <c r="B33" s="102">
        <f t="shared" si="4"/>
        <v>22.295000000000002</v>
      </c>
      <c r="C33" s="102">
        <v>553</v>
      </c>
      <c r="D33" s="102">
        <v>56.463000000000001</v>
      </c>
      <c r="E33" s="100">
        <f t="shared" si="6"/>
        <v>631.75799999999992</v>
      </c>
      <c r="F33" s="102">
        <f t="shared" si="5"/>
        <v>367.64899999999994</v>
      </c>
      <c r="G33" s="102">
        <v>210.00299999999999</v>
      </c>
      <c r="H33" s="102">
        <f t="shared" si="1"/>
        <v>577.65199999999993</v>
      </c>
      <c r="I33" s="102">
        <v>54.106000000000002</v>
      </c>
      <c r="J33" s="108">
        <v>37.72</v>
      </c>
    </row>
    <row r="34" spans="1:10">
      <c r="A34" s="62" t="s">
        <v>400</v>
      </c>
      <c r="B34" s="102">
        <f t="shared" si="4"/>
        <v>54.106000000000002</v>
      </c>
      <c r="C34" s="102">
        <v>600</v>
      </c>
      <c r="D34" s="102">
        <v>155.797</v>
      </c>
      <c r="E34" s="100">
        <f t="shared" si="6"/>
        <v>809.90300000000002</v>
      </c>
      <c r="F34" s="102">
        <f t="shared" si="5"/>
        <v>580.06500000000005</v>
      </c>
      <c r="G34" s="102">
        <v>169.93799999999999</v>
      </c>
      <c r="H34" s="102">
        <f t="shared" si="1"/>
        <v>750.00300000000004</v>
      </c>
      <c r="I34" s="102">
        <v>59.9</v>
      </c>
      <c r="J34" s="108">
        <v>58.03</v>
      </c>
    </row>
    <row r="35" spans="1:10">
      <c r="A35" s="62" t="s">
        <v>404</v>
      </c>
      <c r="B35" s="102">
        <f t="shared" ref="B35:B40" si="7">+I34</f>
        <v>59.9</v>
      </c>
      <c r="C35" s="102">
        <v>632</v>
      </c>
      <c r="D35" s="102">
        <v>103.49299999999999</v>
      </c>
      <c r="E35" s="100">
        <f t="shared" si="6"/>
        <v>795.39300000000003</v>
      </c>
      <c r="F35" s="102">
        <f t="shared" ref="F35:F41" si="8">+H35-G35</f>
        <v>600.00099999999998</v>
      </c>
      <c r="G35" s="102">
        <v>169.06700000000001</v>
      </c>
      <c r="H35" s="102">
        <f t="shared" si="1"/>
        <v>769.06799999999998</v>
      </c>
      <c r="I35" s="102">
        <v>26.324999999999999</v>
      </c>
      <c r="J35" s="108">
        <v>91.15</v>
      </c>
    </row>
    <row r="36" spans="1:10">
      <c r="A36" s="62" t="s">
        <v>411</v>
      </c>
      <c r="B36" s="102">
        <f t="shared" si="7"/>
        <v>26.324999999999999</v>
      </c>
      <c r="C36" s="102">
        <v>646</v>
      </c>
      <c r="D36" s="102">
        <v>67.033000000000001</v>
      </c>
      <c r="E36" s="100">
        <f t="shared" si="6"/>
        <v>739.35800000000006</v>
      </c>
      <c r="F36" s="102">
        <f t="shared" si="8"/>
        <v>428.548</v>
      </c>
      <c r="G36" s="102">
        <v>199.71</v>
      </c>
      <c r="H36" s="102">
        <f t="shared" si="1"/>
        <v>628.25800000000004</v>
      </c>
      <c r="I36" s="102">
        <v>111.1</v>
      </c>
      <c r="J36" s="108">
        <v>50.24</v>
      </c>
    </row>
    <row r="37" spans="1:10">
      <c r="A37" s="62" t="s">
        <v>417</v>
      </c>
      <c r="B37" s="102">
        <f t="shared" si="7"/>
        <v>111.1</v>
      </c>
      <c r="C37" s="102">
        <v>722</v>
      </c>
      <c r="D37" s="102">
        <v>48.64</v>
      </c>
      <c r="E37" s="100">
        <f t="shared" si="6"/>
        <v>881.74</v>
      </c>
      <c r="F37" s="102">
        <f t="shared" si="8"/>
        <v>583.27099999999996</v>
      </c>
      <c r="G37" s="102">
        <v>215.02199999999999</v>
      </c>
      <c r="H37" s="102">
        <f t="shared" si="1"/>
        <v>798.29300000000001</v>
      </c>
      <c r="I37" s="102">
        <v>83.447000000000003</v>
      </c>
      <c r="J37" s="108">
        <v>52.8</v>
      </c>
    </row>
    <row r="38" spans="1:10">
      <c r="A38" s="62" t="s">
        <v>420</v>
      </c>
      <c r="B38" s="102">
        <f t="shared" si="7"/>
        <v>83.447000000000003</v>
      </c>
      <c r="C38" s="102">
        <v>487</v>
      </c>
      <c r="D38" s="102">
        <v>102.559</v>
      </c>
      <c r="E38" s="100">
        <f t="shared" ref="E38:E43" si="9">SUM(B38:D38)</f>
        <v>673.00599999999997</v>
      </c>
      <c r="F38" s="102">
        <f t="shared" si="8"/>
        <v>529.30599999999993</v>
      </c>
      <c r="G38" s="102">
        <v>83.7</v>
      </c>
      <c r="H38" s="102">
        <f t="shared" si="1"/>
        <v>613.00599999999997</v>
      </c>
      <c r="I38" s="102">
        <v>60</v>
      </c>
      <c r="J38" s="108">
        <v>86.12</v>
      </c>
    </row>
    <row r="39" spans="1:10">
      <c r="A39" s="62" t="s">
        <v>449</v>
      </c>
      <c r="B39" s="102">
        <f t="shared" si="7"/>
        <v>60</v>
      </c>
      <c r="C39" s="102">
        <v>322</v>
      </c>
      <c r="D39" s="102">
        <v>162.607</v>
      </c>
      <c r="E39" s="100">
        <f t="shared" si="9"/>
        <v>544.60699999999997</v>
      </c>
      <c r="F39" s="102">
        <f t="shared" si="8"/>
        <v>453.25299999999999</v>
      </c>
      <c r="G39" s="102">
        <v>41.353999999999999</v>
      </c>
      <c r="H39" s="102">
        <f t="shared" si="1"/>
        <v>494.60699999999997</v>
      </c>
      <c r="I39" s="102">
        <v>50</v>
      </c>
      <c r="J39" s="108">
        <v>83.2</v>
      </c>
    </row>
    <row r="40" spans="1:10">
      <c r="A40" s="62" t="s">
        <v>465</v>
      </c>
      <c r="B40" s="102">
        <f t="shared" si="7"/>
        <v>50</v>
      </c>
      <c r="C40" s="102">
        <v>428</v>
      </c>
      <c r="D40" s="102">
        <v>71.561000000000007</v>
      </c>
      <c r="E40" s="100">
        <f t="shared" si="9"/>
        <v>549.56100000000004</v>
      </c>
      <c r="F40" s="102">
        <f t="shared" si="8"/>
        <v>437.04200000000003</v>
      </c>
      <c r="G40" s="102">
        <v>62.518999999999998</v>
      </c>
      <c r="H40" s="102">
        <f t="shared" si="1"/>
        <v>499.56100000000004</v>
      </c>
      <c r="I40" s="102">
        <v>50</v>
      </c>
      <c r="J40" s="108">
        <v>65.87</v>
      </c>
    </row>
    <row r="41" spans="1:10">
      <c r="A41" s="62" t="s">
        <v>464</v>
      </c>
      <c r="B41" s="102">
        <f>+I40</f>
        <v>50</v>
      </c>
      <c r="C41" s="102">
        <v>430</v>
      </c>
      <c r="D41" s="102">
        <v>76.418000000000006</v>
      </c>
      <c r="E41" s="100">
        <f t="shared" si="9"/>
        <v>556.41800000000001</v>
      </c>
      <c r="F41" s="102">
        <f t="shared" si="8"/>
        <v>424.60699999999997</v>
      </c>
      <c r="G41" s="102">
        <v>81.811000000000007</v>
      </c>
      <c r="H41" s="102">
        <f t="shared" si="1"/>
        <v>506.41800000000001</v>
      </c>
      <c r="I41" s="102">
        <v>50</v>
      </c>
      <c r="J41" s="108">
        <v>59.12</v>
      </c>
    </row>
    <row r="42" spans="1:10">
      <c r="A42" s="62" t="s">
        <v>496</v>
      </c>
      <c r="B42" s="102">
        <f>+I41</f>
        <v>50</v>
      </c>
      <c r="C42" s="219">
        <v>322</v>
      </c>
      <c r="D42" s="219">
        <v>176.83799999999999</v>
      </c>
      <c r="E42" s="100">
        <f t="shared" si="9"/>
        <v>548.83799999999997</v>
      </c>
      <c r="F42" s="102">
        <f>+H42-G42</f>
        <v>435.28799999999995</v>
      </c>
      <c r="G42" s="219">
        <v>63.55</v>
      </c>
      <c r="H42" s="102">
        <f t="shared" si="1"/>
        <v>498.83799999999997</v>
      </c>
      <c r="I42" s="102">
        <v>50</v>
      </c>
      <c r="J42" s="222">
        <v>66.72</v>
      </c>
    </row>
    <row r="43" spans="1:10">
      <c r="A43" s="62" t="s">
        <v>495</v>
      </c>
      <c r="B43" s="102">
        <f>+I42</f>
        <v>50</v>
      </c>
      <c r="C43" s="219">
        <v>452</v>
      </c>
      <c r="D43" s="219">
        <v>92.628</v>
      </c>
      <c r="E43" s="100">
        <f t="shared" si="9"/>
        <v>594.62800000000004</v>
      </c>
      <c r="F43" s="102">
        <f>+H43-G43</f>
        <v>433.32200000000006</v>
      </c>
      <c r="G43" s="219">
        <v>85.55</v>
      </c>
      <c r="H43" s="102">
        <f t="shared" si="1"/>
        <v>518.87200000000007</v>
      </c>
      <c r="I43" s="102">
        <v>75.756</v>
      </c>
      <c r="J43" s="222">
        <v>57.81</v>
      </c>
    </row>
    <row r="44" spans="1:10">
      <c r="A44" s="62" t="s">
        <v>498</v>
      </c>
      <c r="B44" s="102">
        <f>+I43</f>
        <v>75.756</v>
      </c>
      <c r="C44" s="219">
        <v>465</v>
      </c>
      <c r="D44" s="219">
        <v>120</v>
      </c>
      <c r="E44" s="100">
        <f>SUM(B44:D44)</f>
        <v>660.75599999999997</v>
      </c>
      <c r="F44" s="102">
        <f>+H44-G44</f>
        <v>498.75599999999997</v>
      </c>
      <c r="G44" s="219">
        <v>71</v>
      </c>
      <c r="H44" s="102">
        <f t="shared" si="1"/>
        <v>569.75599999999997</v>
      </c>
      <c r="I44" s="219">
        <v>91</v>
      </c>
      <c r="J44" s="222">
        <v>53.54</v>
      </c>
    </row>
    <row r="45" spans="1:10">
      <c r="A45" s="129" t="s">
        <v>636</v>
      </c>
      <c r="B45" s="102">
        <f>+I44</f>
        <v>91</v>
      </c>
      <c r="C45" s="219">
        <v>434</v>
      </c>
      <c r="D45" s="219">
        <v>160.83099999999999</v>
      </c>
      <c r="E45" s="219">
        <f>SUM(B45:D45)</f>
        <v>685.83100000000002</v>
      </c>
      <c r="F45" s="219">
        <f>+H45-G45</f>
        <v>524.36500000000001</v>
      </c>
      <c r="G45" s="219">
        <v>89.024000000000001</v>
      </c>
      <c r="H45" s="219">
        <f t="shared" si="1"/>
        <v>613.38900000000001</v>
      </c>
      <c r="I45" s="219">
        <v>72.441999999999993</v>
      </c>
      <c r="J45" s="222">
        <v>54.57</v>
      </c>
    </row>
    <row r="46" spans="1:10">
      <c r="A46" s="136" t="s">
        <v>635</v>
      </c>
      <c r="B46" s="104">
        <v>72.441999999999993</v>
      </c>
      <c r="C46" s="263">
        <v>445</v>
      </c>
      <c r="D46" s="263">
        <v>150</v>
      </c>
      <c r="E46" s="263">
        <f>SUM(B46:D46)</f>
        <v>667.44200000000001</v>
      </c>
      <c r="F46" s="263">
        <f>+H46-G46</f>
        <v>492.44200000000001</v>
      </c>
      <c r="G46" s="263">
        <v>95</v>
      </c>
      <c r="H46" s="263">
        <f t="shared" si="1"/>
        <v>587.44200000000001</v>
      </c>
      <c r="I46" s="263">
        <v>80</v>
      </c>
      <c r="J46" s="317" t="s">
        <v>666</v>
      </c>
    </row>
    <row r="47" spans="1:10" s="6" customFormat="1" ht="12" customHeight="1">
      <c r="A47" s="107" t="s">
        <v>370</v>
      </c>
    </row>
    <row r="48" spans="1:10" s="6" customFormat="1" ht="12" customHeight="1">
      <c r="A48" s="107" t="s">
        <v>550</v>
      </c>
    </row>
    <row r="49" spans="1:10">
      <c r="A49" s="107" t="s">
        <v>551</v>
      </c>
    </row>
    <row r="50" spans="1:10" ht="10.199999999999999" customHeight="1">
      <c r="J50" s="270" t="s">
        <v>679</v>
      </c>
    </row>
  </sheetData>
  <phoneticPr fontId="0" type="noConversion"/>
  <pageMargins left="0.7" right="0.7" top="0.75" bottom="0.75" header="0.3" footer="0.3"/>
  <pageSetup scale="81" firstPageNumber="51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38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1.7109375" customWidth="1"/>
    <col min="2" max="12" width="9.7109375" customWidth="1"/>
    <col min="13" max="13" width="12.85546875" customWidth="1"/>
    <col min="14" max="15" width="9.7109375" customWidth="1"/>
  </cols>
  <sheetData>
    <row r="1" spans="1:15">
      <c r="A1" s="114" t="s">
        <v>641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t="s">
        <v>20</v>
      </c>
      <c r="B2" s="181" t="s">
        <v>62</v>
      </c>
      <c r="C2" s="181" t="s">
        <v>63</v>
      </c>
      <c r="D2" s="182" t="s">
        <v>64</v>
      </c>
      <c r="E2" s="383"/>
      <c r="F2" s="298" t="s">
        <v>119</v>
      </c>
      <c r="G2" s="279"/>
      <c r="H2" s="279"/>
      <c r="I2" s="383"/>
      <c r="J2" s="279" t="s">
        <v>117</v>
      </c>
      <c r="K2" s="382"/>
      <c r="L2" s="279"/>
      <c r="M2" s="292" t="s">
        <v>118</v>
      </c>
      <c r="N2" s="271"/>
    </row>
    <row r="3" spans="1:15">
      <c r="A3" t="s">
        <v>100</v>
      </c>
      <c r="E3" s="364" t="s">
        <v>141</v>
      </c>
      <c r="F3" s="7" t="s">
        <v>66</v>
      </c>
      <c r="G3" s="172" t="s">
        <v>88</v>
      </c>
      <c r="H3" s="172" t="s">
        <v>3</v>
      </c>
      <c r="I3" s="398" t="s">
        <v>111</v>
      </c>
      <c r="J3" s="10" t="s">
        <v>90</v>
      </c>
      <c r="K3" s="396" t="s">
        <v>176</v>
      </c>
      <c r="L3" s="397" t="s">
        <v>268</v>
      </c>
      <c r="M3" s="7" t="s">
        <v>560</v>
      </c>
      <c r="N3" s="7"/>
      <c r="O3" s="7" t="s">
        <v>67</v>
      </c>
    </row>
    <row r="4" spans="1:15">
      <c r="A4" s="45" t="s">
        <v>269</v>
      </c>
      <c r="E4" s="364" t="s">
        <v>110</v>
      </c>
      <c r="F4" s="7"/>
      <c r="G4" s="7"/>
      <c r="H4" s="7"/>
      <c r="I4" s="394"/>
      <c r="K4" s="389"/>
      <c r="L4" s="364" t="s">
        <v>110</v>
      </c>
      <c r="M4" s="7" t="s">
        <v>114</v>
      </c>
      <c r="N4" s="7" t="s">
        <v>458</v>
      </c>
      <c r="O4" s="7"/>
    </row>
    <row r="5" spans="1:15">
      <c r="A5" s="1"/>
      <c r="B5" s="1"/>
      <c r="C5" s="1"/>
      <c r="D5" s="1"/>
      <c r="E5" s="365"/>
      <c r="F5" s="1"/>
      <c r="G5" s="1"/>
      <c r="H5" s="1"/>
      <c r="I5" s="365"/>
      <c r="J5" s="1"/>
      <c r="K5" s="368"/>
      <c r="L5" s="365"/>
      <c r="M5" s="9" t="s">
        <v>168</v>
      </c>
      <c r="N5" s="9"/>
      <c r="O5" s="9"/>
    </row>
    <row r="6" spans="1:15">
      <c r="C6" s="293" t="s">
        <v>582</v>
      </c>
      <c r="D6" s="106" t="s">
        <v>455</v>
      </c>
      <c r="F6" s="277"/>
      <c r="G6" s="305" t="s">
        <v>282</v>
      </c>
      <c r="I6" s="277"/>
      <c r="J6" s="277"/>
      <c r="K6" s="277"/>
      <c r="L6" s="277"/>
      <c r="M6" s="7" t="s">
        <v>456</v>
      </c>
      <c r="N6" s="7" t="s">
        <v>456</v>
      </c>
      <c r="O6" s="127" t="s">
        <v>379</v>
      </c>
    </row>
    <row r="8" spans="1:15">
      <c r="A8" s="10" t="s">
        <v>11</v>
      </c>
      <c r="B8" s="36">
        <v>155</v>
      </c>
      <c r="C8" s="36">
        <v>147</v>
      </c>
      <c r="D8" s="36">
        <f t="shared" ref="D8:D35" si="0">+F8*1000/C8</f>
        <v>1300</v>
      </c>
      <c r="E8" s="36">
        <v>32</v>
      </c>
      <c r="F8" s="36">
        <v>191.1</v>
      </c>
      <c r="G8" s="36">
        <v>1.7017609495320001</v>
      </c>
      <c r="H8" s="36">
        <f t="shared" ref="H8:H17" si="1">SUM(E8:G8)</f>
        <v>224.801760949532</v>
      </c>
      <c r="I8" s="36">
        <v>111</v>
      </c>
      <c r="J8" s="36">
        <v>96.608028569094003</v>
      </c>
      <c r="K8" s="36">
        <f t="shared" ref="K8:K35" si="2">+H8-L8</f>
        <v>211.801760949532</v>
      </c>
      <c r="L8" s="36">
        <v>13</v>
      </c>
      <c r="M8" s="33">
        <v>9.7200000000000006</v>
      </c>
      <c r="N8" s="33">
        <v>8.9</v>
      </c>
      <c r="O8" s="125">
        <v>18582</v>
      </c>
    </row>
    <row r="9" spans="1:15">
      <c r="A9" s="10" t="s">
        <v>12</v>
      </c>
      <c r="B9" s="36">
        <v>140</v>
      </c>
      <c r="C9" s="36">
        <v>112</v>
      </c>
      <c r="D9" s="36">
        <f t="shared" si="0"/>
        <v>1286.0446428571429</v>
      </c>
      <c r="E9" s="36">
        <f t="shared" ref="E9:E17" si="3">+L8</f>
        <v>13</v>
      </c>
      <c r="F9" s="36">
        <v>144.03700000000001</v>
      </c>
      <c r="G9" s="36">
        <v>27</v>
      </c>
      <c r="H9" s="36">
        <f t="shared" si="1"/>
        <v>184.03700000000001</v>
      </c>
      <c r="I9" s="36">
        <v>59</v>
      </c>
      <c r="J9" s="36">
        <v>104.34911559307199</v>
      </c>
      <c r="K9" s="36">
        <f t="shared" si="2"/>
        <v>173.85500000000002</v>
      </c>
      <c r="L9" s="36">
        <v>10.182</v>
      </c>
      <c r="M9" s="33">
        <v>9.9</v>
      </c>
      <c r="N9" s="33">
        <v>8.9</v>
      </c>
      <c r="O9" s="125">
        <v>14262</v>
      </c>
    </row>
    <row r="10" spans="1:15">
      <c r="A10" s="10" t="s">
        <v>13</v>
      </c>
      <c r="B10" s="36">
        <v>199</v>
      </c>
      <c r="C10" s="36">
        <v>187</v>
      </c>
      <c r="D10" s="36">
        <f t="shared" si="0"/>
        <v>1350</v>
      </c>
      <c r="E10" s="36">
        <f t="shared" si="3"/>
        <v>10.182</v>
      </c>
      <c r="F10" s="36">
        <v>252.45</v>
      </c>
      <c r="G10" s="36">
        <v>772.91406844230607</v>
      </c>
      <c r="H10" s="36">
        <f t="shared" si="1"/>
        <v>1035.546068442306</v>
      </c>
      <c r="I10" s="36">
        <v>845</v>
      </c>
      <c r="J10" s="36">
        <v>77.515221612906004</v>
      </c>
      <c r="K10" s="36">
        <f t="shared" si="2"/>
        <v>940.26206844230603</v>
      </c>
      <c r="L10" s="36">
        <v>95.284000000000006</v>
      </c>
      <c r="M10" s="33">
        <v>10.9</v>
      </c>
      <c r="N10" s="33">
        <v>8.9</v>
      </c>
      <c r="O10" s="125">
        <v>27476</v>
      </c>
    </row>
    <row r="11" spans="1:15">
      <c r="A11" s="10" t="s">
        <v>14</v>
      </c>
      <c r="B11" s="36">
        <v>354</v>
      </c>
      <c r="C11" s="36">
        <v>340</v>
      </c>
      <c r="D11" s="36">
        <f t="shared" si="0"/>
        <v>1316</v>
      </c>
      <c r="E11" s="36">
        <f t="shared" si="3"/>
        <v>95.284000000000006</v>
      </c>
      <c r="F11" s="36">
        <v>447.44</v>
      </c>
      <c r="G11" s="36">
        <v>629.80212480481805</v>
      </c>
      <c r="H11" s="36">
        <f t="shared" si="1"/>
        <v>1172.5261248048182</v>
      </c>
      <c r="I11" s="36">
        <v>891</v>
      </c>
      <c r="J11" s="36">
        <v>226.75532656833005</v>
      </c>
      <c r="K11" s="36">
        <f t="shared" si="2"/>
        <v>1138.2761248048182</v>
      </c>
      <c r="L11" s="36">
        <v>34.25</v>
      </c>
      <c r="M11" s="33">
        <v>11.1</v>
      </c>
      <c r="N11" s="33">
        <v>8.6999999999999993</v>
      </c>
      <c r="O11" s="125">
        <v>49802</v>
      </c>
    </row>
    <row r="12" spans="1:15">
      <c r="A12" s="10" t="s">
        <v>15</v>
      </c>
      <c r="B12" s="36">
        <v>446</v>
      </c>
      <c r="C12" s="36">
        <v>429</v>
      </c>
      <c r="D12" s="36">
        <f t="shared" si="0"/>
        <v>1278.4312354312353</v>
      </c>
      <c r="E12" s="36">
        <f t="shared" si="3"/>
        <v>34.25</v>
      </c>
      <c r="F12" s="36">
        <v>548.447</v>
      </c>
      <c r="G12" s="36">
        <v>557.98296521171403</v>
      </c>
      <c r="H12" s="36">
        <f t="shared" si="1"/>
        <v>1140.679965211714</v>
      </c>
      <c r="I12" s="36">
        <v>893</v>
      </c>
      <c r="J12" s="36">
        <v>138</v>
      </c>
      <c r="K12" s="36">
        <f t="shared" si="2"/>
        <v>1052.6649652117139</v>
      </c>
      <c r="L12" s="36">
        <v>88.015000000000001</v>
      </c>
      <c r="M12" s="33">
        <v>11.1</v>
      </c>
      <c r="N12" s="33">
        <v>8.6999999999999993</v>
      </c>
      <c r="O12" s="125">
        <v>60837</v>
      </c>
    </row>
    <row r="13" spans="1:15">
      <c r="A13" s="10" t="s">
        <v>16</v>
      </c>
      <c r="B13" s="36">
        <v>367</v>
      </c>
      <c r="C13" s="36">
        <v>347</v>
      </c>
      <c r="D13" s="36">
        <f t="shared" si="0"/>
        <v>1384.78674351585</v>
      </c>
      <c r="E13" s="36">
        <f t="shared" si="3"/>
        <v>88.015000000000001</v>
      </c>
      <c r="F13" s="36">
        <v>480.52100000000002</v>
      </c>
      <c r="G13" s="36">
        <v>570</v>
      </c>
      <c r="H13" s="36">
        <f t="shared" si="1"/>
        <v>1138.5360000000001</v>
      </c>
      <c r="I13" s="36">
        <v>847</v>
      </c>
      <c r="J13" s="36">
        <v>173</v>
      </c>
      <c r="K13" s="36">
        <f t="shared" si="2"/>
        <v>1059.0260000000001</v>
      </c>
      <c r="L13" s="36">
        <v>79.510000000000005</v>
      </c>
      <c r="M13" s="33">
        <v>12.9</v>
      </c>
      <c r="N13" s="33">
        <v>8.91</v>
      </c>
      <c r="O13" s="125">
        <v>62048</v>
      </c>
    </row>
    <row r="14" spans="1:15">
      <c r="A14" s="10" t="s">
        <v>17</v>
      </c>
      <c r="B14" s="36">
        <v>671</v>
      </c>
      <c r="C14" s="36">
        <v>631</v>
      </c>
      <c r="D14" s="36">
        <f t="shared" si="0"/>
        <v>1237.2583201267828</v>
      </c>
      <c r="E14" s="36">
        <f t="shared" si="3"/>
        <v>79.510000000000005</v>
      </c>
      <c r="F14" s="36">
        <v>780.71</v>
      </c>
      <c r="G14" s="36">
        <v>782.2</v>
      </c>
      <c r="H14" s="36">
        <f t="shared" si="1"/>
        <v>1642.42</v>
      </c>
      <c r="I14" s="36">
        <v>1292</v>
      </c>
      <c r="J14" s="36">
        <v>277</v>
      </c>
      <c r="K14" s="36">
        <f t="shared" si="2"/>
        <v>1600.5130000000001</v>
      </c>
      <c r="L14" s="36">
        <v>41.906999999999996</v>
      </c>
      <c r="M14" s="33">
        <v>11.3</v>
      </c>
      <c r="N14" s="33">
        <v>9.3000000000000007</v>
      </c>
      <c r="O14" s="125">
        <v>88235</v>
      </c>
    </row>
    <row r="15" spans="1:15">
      <c r="A15" s="10" t="s">
        <v>18</v>
      </c>
      <c r="B15" s="36">
        <v>1115</v>
      </c>
      <c r="C15" s="36">
        <v>1076</v>
      </c>
      <c r="D15" s="36">
        <f t="shared" si="0"/>
        <v>1447.7695167286245</v>
      </c>
      <c r="E15" s="36">
        <f t="shared" si="3"/>
        <v>41.906999999999996</v>
      </c>
      <c r="F15" s="36">
        <v>1557.8</v>
      </c>
      <c r="G15" s="36">
        <v>683.9</v>
      </c>
      <c r="H15" s="36">
        <f t="shared" si="1"/>
        <v>2283.607</v>
      </c>
      <c r="I15" s="36">
        <v>1531</v>
      </c>
      <c r="J15" s="36">
        <v>543</v>
      </c>
      <c r="K15" s="36">
        <f t="shared" si="2"/>
        <v>2115.0659999999998</v>
      </c>
      <c r="L15" s="36">
        <v>168.541</v>
      </c>
      <c r="M15" s="33">
        <v>10.3</v>
      </c>
      <c r="N15" s="33">
        <v>9.3000000000000007</v>
      </c>
      <c r="O15" s="125">
        <v>160112</v>
      </c>
    </row>
    <row r="16" spans="1:15">
      <c r="A16" s="10" t="s">
        <v>19</v>
      </c>
      <c r="B16" s="36">
        <v>1076</v>
      </c>
      <c r="C16" s="36">
        <v>1044</v>
      </c>
      <c r="D16" s="36">
        <f t="shared" si="0"/>
        <v>1306.2068965517242</v>
      </c>
      <c r="E16" s="36">
        <f t="shared" si="3"/>
        <v>168.541</v>
      </c>
      <c r="F16" s="36">
        <v>1363.68</v>
      </c>
      <c r="G16" s="36">
        <v>533.9</v>
      </c>
      <c r="H16" s="36">
        <f t="shared" si="1"/>
        <v>2066.1210000000001</v>
      </c>
      <c r="I16" s="36">
        <v>1617</v>
      </c>
      <c r="J16" s="36">
        <v>299</v>
      </c>
      <c r="K16" s="36">
        <f t="shared" si="2"/>
        <v>1956.7040000000002</v>
      </c>
      <c r="L16" s="36">
        <v>109.417</v>
      </c>
      <c r="M16" s="33">
        <v>7.82</v>
      </c>
      <c r="N16" s="33">
        <v>9.3000000000000007</v>
      </c>
      <c r="O16" s="125">
        <v>106685</v>
      </c>
    </row>
    <row r="17" spans="1:15">
      <c r="A17" s="62" t="s">
        <v>337</v>
      </c>
      <c r="B17" s="36">
        <v>1555</v>
      </c>
      <c r="C17" s="36">
        <v>1498</v>
      </c>
      <c r="D17" s="36">
        <f t="shared" si="0"/>
        <v>1333.9853137516689</v>
      </c>
      <c r="E17" s="74">
        <f t="shared" si="3"/>
        <v>109.417</v>
      </c>
      <c r="F17" s="74">
        <v>1998.31</v>
      </c>
      <c r="G17" s="74">
        <v>479</v>
      </c>
      <c r="H17" s="74">
        <f t="shared" si="1"/>
        <v>2586.7269999999999</v>
      </c>
      <c r="I17" s="36">
        <v>1969</v>
      </c>
      <c r="J17" s="74">
        <v>485.9</v>
      </c>
      <c r="K17" s="74">
        <f t="shared" si="2"/>
        <v>2502.9169999999999</v>
      </c>
      <c r="L17" s="36">
        <v>83.81</v>
      </c>
      <c r="M17" s="33">
        <v>6.71</v>
      </c>
      <c r="N17" s="33">
        <v>9.3000000000000007</v>
      </c>
      <c r="O17" s="125">
        <v>120933</v>
      </c>
    </row>
    <row r="18" spans="1:15">
      <c r="A18" s="62" t="s">
        <v>341</v>
      </c>
      <c r="B18" s="36">
        <v>1494</v>
      </c>
      <c r="C18" s="36">
        <v>1455</v>
      </c>
      <c r="D18" s="36">
        <f t="shared" si="0"/>
        <v>1373.5498281786943</v>
      </c>
      <c r="E18" s="74">
        <f t="shared" ref="E18:E23" si="4">+L17</f>
        <v>83.81</v>
      </c>
      <c r="F18" s="74">
        <v>1998.5150000000001</v>
      </c>
      <c r="G18" s="74">
        <v>276</v>
      </c>
      <c r="H18" s="74">
        <f t="shared" ref="H18:H23" si="5">SUM(E18:G18)</f>
        <v>2358.3250000000003</v>
      </c>
      <c r="I18" s="36">
        <v>1686</v>
      </c>
      <c r="J18" s="74">
        <v>480</v>
      </c>
      <c r="K18" s="74">
        <f t="shared" si="2"/>
        <v>2209.2550000000001</v>
      </c>
      <c r="L18" s="36">
        <v>149.07</v>
      </c>
      <c r="M18" s="33">
        <v>8.77</v>
      </c>
      <c r="N18" s="33">
        <v>9.3000000000000007</v>
      </c>
      <c r="O18" s="125">
        <v>175351</v>
      </c>
    </row>
    <row r="19" spans="1:15">
      <c r="A19" s="62" t="s">
        <v>353</v>
      </c>
      <c r="B19" s="36">
        <v>1460</v>
      </c>
      <c r="C19" s="36">
        <v>1281</v>
      </c>
      <c r="D19" s="36">
        <f t="shared" si="0"/>
        <v>1197.049180327869</v>
      </c>
      <c r="E19" s="74">
        <f t="shared" si="4"/>
        <v>149.07</v>
      </c>
      <c r="F19" s="74">
        <v>1533.42</v>
      </c>
      <c r="G19" s="74">
        <v>434</v>
      </c>
      <c r="H19" s="74">
        <f t="shared" si="5"/>
        <v>2116.4899999999998</v>
      </c>
      <c r="I19" s="36">
        <v>1290</v>
      </c>
      <c r="J19" s="74">
        <v>633</v>
      </c>
      <c r="K19" s="74">
        <f t="shared" si="2"/>
        <v>1961.0159999999998</v>
      </c>
      <c r="L19" s="36">
        <v>155.47399999999999</v>
      </c>
      <c r="M19" s="33">
        <v>10.6</v>
      </c>
      <c r="N19" s="33">
        <v>9.6</v>
      </c>
      <c r="O19" s="125">
        <v>162719</v>
      </c>
    </row>
    <row r="20" spans="1:15">
      <c r="A20" s="62" t="s">
        <v>364</v>
      </c>
      <c r="B20" s="36">
        <v>1082</v>
      </c>
      <c r="C20" s="36">
        <v>1068</v>
      </c>
      <c r="D20" s="36">
        <f t="shared" si="0"/>
        <v>1415.9644194756554</v>
      </c>
      <c r="E20" s="74">
        <f t="shared" si="4"/>
        <v>155.47399999999999</v>
      </c>
      <c r="F20" s="74">
        <v>1512.25</v>
      </c>
      <c r="G20" s="74">
        <v>536.79999999999995</v>
      </c>
      <c r="H20" s="74">
        <f t="shared" si="5"/>
        <v>2204.5239999999999</v>
      </c>
      <c r="I20" s="36">
        <v>1407</v>
      </c>
      <c r="J20" s="74">
        <v>670.7</v>
      </c>
      <c r="K20" s="74">
        <f t="shared" si="2"/>
        <v>2116.364</v>
      </c>
      <c r="L20" s="36">
        <v>88.16</v>
      </c>
      <c r="M20" s="33">
        <v>10.6</v>
      </c>
      <c r="N20" s="33">
        <v>9.6</v>
      </c>
      <c r="O20" s="125">
        <v>159849</v>
      </c>
    </row>
    <row r="21" spans="1:15">
      <c r="A21" s="62" t="s">
        <v>366</v>
      </c>
      <c r="B21" s="36">
        <v>865</v>
      </c>
      <c r="C21" s="36">
        <v>828</v>
      </c>
      <c r="D21" s="36">
        <f t="shared" si="0"/>
        <v>1617.7898550724638</v>
      </c>
      <c r="E21" s="74">
        <f t="shared" si="4"/>
        <v>88.16</v>
      </c>
      <c r="F21" s="74">
        <v>1339.53</v>
      </c>
      <c r="G21" s="74">
        <v>1029.9000000000001</v>
      </c>
      <c r="H21" s="74">
        <f t="shared" si="5"/>
        <v>2457.59</v>
      </c>
      <c r="I21" s="36">
        <v>1976</v>
      </c>
      <c r="J21" s="74">
        <v>308</v>
      </c>
      <c r="K21" s="74">
        <f t="shared" si="2"/>
        <v>2327.0940000000001</v>
      </c>
      <c r="L21" s="36">
        <v>130.49600000000001</v>
      </c>
      <c r="M21" s="33">
        <v>10.7</v>
      </c>
      <c r="N21" s="33">
        <v>9.3000000000000007</v>
      </c>
      <c r="O21" s="125">
        <v>143853</v>
      </c>
    </row>
    <row r="22" spans="1:15">
      <c r="A22" s="62" t="s">
        <v>401</v>
      </c>
      <c r="B22" s="36">
        <v>1159</v>
      </c>
      <c r="C22" s="36">
        <v>1114</v>
      </c>
      <c r="D22" s="36">
        <f t="shared" si="0"/>
        <v>1419.1965888689408</v>
      </c>
      <c r="E22" s="74">
        <f t="shared" si="4"/>
        <v>130.49600000000001</v>
      </c>
      <c r="F22" s="74">
        <v>1580.9849999999999</v>
      </c>
      <c r="G22" s="74">
        <v>1142.5</v>
      </c>
      <c r="H22" s="74">
        <f t="shared" si="5"/>
        <v>2853.9809999999998</v>
      </c>
      <c r="I22" s="36">
        <v>2269</v>
      </c>
      <c r="J22" s="74">
        <v>345.9</v>
      </c>
      <c r="K22" s="74">
        <f t="shared" si="2"/>
        <v>2663.3849999999998</v>
      </c>
      <c r="L22" s="36">
        <v>190.596</v>
      </c>
      <c r="M22" s="33">
        <v>9.6199999999999992</v>
      </c>
      <c r="N22" s="33">
        <v>9.3000000000000007</v>
      </c>
      <c r="O22" s="125">
        <v>152033</v>
      </c>
    </row>
    <row r="23" spans="1:15">
      <c r="A23" s="62" t="s">
        <v>400</v>
      </c>
      <c r="B23" s="36">
        <v>1044</v>
      </c>
      <c r="C23" s="36">
        <v>1021</v>
      </c>
      <c r="D23" s="36">
        <f t="shared" si="0"/>
        <v>1365.6336924583741</v>
      </c>
      <c r="E23" s="74">
        <f t="shared" si="4"/>
        <v>190.596</v>
      </c>
      <c r="F23" s="74">
        <v>1394.3119999999999</v>
      </c>
      <c r="G23" s="74">
        <v>1427.1</v>
      </c>
      <c r="H23" s="74">
        <f t="shared" si="5"/>
        <v>3012.0079999999998</v>
      </c>
      <c r="I23" s="36">
        <v>2123</v>
      </c>
      <c r="J23" s="74">
        <v>542</v>
      </c>
      <c r="K23" s="74">
        <f t="shared" si="2"/>
        <v>2717.1030000000001</v>
      </c>
      <c r="L23" s="36">
        <v>294.90499999999997</v>
      </c>
      <c r="M23" s="33">
        <v>11.9</v>
      </c>
      <c r="N23" s="33">
        <v>9.3000000000000007</v>
      </c>
      <c r="O23" s="125">
        <v>165491</v>
      </c>
    </row>
    <row r="24" spans="1:15">
      <c r="A24" s="62" t="s">
        <v>404</v>
      </c>
      <c r="B24" s="36">
        <v>1176</v>
      </c>
      <c r="C24" s="36">
        <v>1155.5</v>
      </c>
      <c r="D24" s="36">
        <f t="shared" si="0"/>
        <v>1238.1947209000432</v>
      </c>
      <c r="E24" s="74">
        <f t="shared" ref="E24:E29" si="6">+L23</f>
        <v>294.90499999999997</v>
      </c>
      <c r="F24" s="74">
        <v>1430.7339999999999</v>
      </c>
      <c r="G24" s="74">
        <v>1925.7</v>
      </c>
      <c r="H24" s="74">
        <f t="shared" ref="H24:H29" si="7">SUM(E24:G24)</f>
        <v>3651.3389999999999</v>
      </c>
      <c r="I24" s="36">
        <v>2313</v>
      </c>
      <c r="J24" s="74">
        <v>932.84347717146602</v>
      </c>
      <c r="K24" s="74">
        <f t="shared" si="2"/>
        <v>3306.3620000000001</v>
      </c>
      <c r="L24" s="36">
        <v>344.97699999999998</v>
      </c>
      <c r="M24" s="33">
        <v>18.3</v>
      </c>
      <c r="N24" s="33">
        <v>9.3000000000000007</v>
      </c>
      <c r="O24" s="125">
        <v>260339</v>
      </c>
    </row>
    <row r="25" spans="1:15">
      <c r="A25" s="62" t="s">
        <v>411</v>
      </c>
      <c r="B25" s="36">
        <v>1011</v>
      </c>
      <c r="C25" s="36">
        <v>989</v>
      </c>
      <c r="D25" s="36">
        <f t="shared" si="0"/>
        <v>1461.1365015166834</v>
      </c>
      <c r="E25" s="74">
        <f t="shared" si="6"/>
        <v>344.97699999999998</v>
      </c>
      <c r="F25" s="74">
        <v>1445.0640000000001</v>
      </c>
      <c r="G25" s="74">
        <v>1819.2175636550585</v>
      </c>
      <c r="H25" s="74">
        <f t="shared" si="7"/>
        <v>3609.2585636550584</v>
      </c>
      <c r="I25" s="36">
        <v>2680</v>
      </c>
      <c r="J25" s="74">
        <v>420.06141165050997</v>
      </c>
      <c r="K25" s="74">
        <f t="shared" si="2"/>
        <v>3159.3015636550585</v>
      </c>
      <c r="L25" s="36">
        <v>449.95699999999999</v>
      </c>
      <c r="M25" s="33">
        <v>18.7</v>
      </c>
      <c r="N25" s="33">
        <v>9.3000000000000007</v>
      </c>
      <c r="O25" s="125">
        <v>270988</v>
      </c>
    </row>
    <row r="26" spans="1:15">
      <c r="A26" s="115" t="s">
        <v>417</v>
      </c>
      <c r="B26" s="36">
        <v>820</v>
      </c>
      <c r="C26" s="36">
        <v>808</v>
      </c>
      <c r="D26" s="36">
        <f t="shared" si="0"/>
        <v>1812.8465346534654</v>
      </c>
      <c r="E26" s="74">
        <f t="shared" si="6"/>
        <v>449.95699999999999</v>
      </c>
      <c r="F26" s="74">
        <v>1464.78</v>
      </c>
      <c r="G26" s="74">
        <v>1252.2020628115151</v>
      </c>
      <c r="H26" s="74">
        <f t="shared" si="7"/>
        <v>3166.9390628115152</v>
      </c>
      <c r="I26" s="36">
        <v>2452</v>
      </c>
      <c r="J26" s="74">
        <v>387.81815130928806</v>
      </c>
      <c r="K26" s="74">
        <f t="shared" si="2"/>
        <v>2898.0490628115153</v>
      </c>
      <c r="L26" s="36">
        <v>268.89</v>
      </c>
      <c r="M26" s="33">
        <v>16.2</v>
      </c>
      <c r="N26" s="33">
        <v>9.3000000000000007</v>
      </c>
      <c r="O26" s="125">
        <v>237156</v>
      </c>
    </row>
    <row r="27" spans="1:15">
      <c r="A27" s="115" t="s">
        <v>424</v>
      </c>
      <c r="B27" s="36">
        <v>1448.8</v>
      </c>
      <c r="C27" s="36">
        <v>1430.7</v>
      </c>
      <c r="D27" s="36">
        <f t="shared" si="0"/>
        <v>1710.7905221220381</v>
      </c>
      <c r="E27" s="74">
        <f t="shared" si="6"/>
        <v>268.89</v>
      </c>
      <c r="F27" s="74">
        <v>2447.6280000000002</v>
      </c>
      <c r="G27" s="74">
        <v>1063.0395625737131</v>
      </c>
      <c r="H27" s="74">
        <f t="shared" si="7"/>
        <v>3779.5575625737129</v>
      </c>
      <c r="I27" s="36">
        <v>2844</v>
      </c>
      <c r="J27" s="74">
        <v>647.56657976503504</v>
      </c>
      <c r="K27" s="74">
        <f t="shared" si="2"/>
        <v>3554.9035625737129</v>
      </c>
      <c r="L27" s="36">
        <v>224.654</v>
      </c>
      <c r="M27" s="33">
        <v>19.3</v>
      </c>
      <c r="N27" s="33">
        <v>10.09</v>
      </c>
      <c r="O27" s="125">
        <v>471068</v>
      </c>
    </row>
    <row r="28" spans="1:15">
      <c r="A28" s="115" t="s">
        <v>425</v>
      </c>
      <c r="B28" s="36">
        <v>1061.5</v>
      </c>
      <c r="C28" s="36">
        <v>1033</v>
      </c>
      <c r="D28" s="36">
        <f t="shared" si="0"/>
        <v>1479.1965150048402</v>
      </c>
      <c r="E28" s="74">
        <f t="shared" si="6"/>
        <v>224.654</v>
      </c>
      <c r="F28" s="74">
        <v>1528.01</v>
      </c>
      <c r="G28" s="74">
        <v>1371.204860796036</v>
      </c>
      <c r="H28" s="74">
        <f t="shared" si="7"/>
        <v>3123.8688607960357</v>
      </c>
      <c r="I28" s="36">
        <v>2572</v>
      </c>
      <c r="J28" s="74">
        <v>336.98183213608195</v>
      </c>
      <c r="K28" s="74">
        <f t="shared" si="2"/>
        <v>2969.3888607960357</v>
      </c>
      <c r="L28" s="36">
        <v>154.47999999999999</v>
      </c>
      <c r="M28" s="33">
        <v>24</v>
      </c>
      <c r="N28" s="33">
        <v>10.09</v>
      </c>
      <c r="O28" s="125">
        <v>364197</v>
      </c>
    </row>
    <row r="29" spans="1:15">
      <c r="A29" s="115" t="s">
        <v>438</v>
      </c>
      <c r="B29" s="36">
        <v>1754.4</v>
      </c>
      <c r="C29" s="36">
        <v>1717.9</v>
      </c>
      <c r="D29" s="36">
        <f t="shared" si="0"/>
        <v>1392.1706734967111</v>
      </c>
      <c r="E29" s="74">
        <f t="shared" si="6"/>
        <v>154.47999999999999</v>
      </c>
      <c r="F29" s="74">
        <v>2391.61</v>
      </c>
      <c r="G29" s="74">
        <v>868.69611994674608</v>
      </c>
      <c r="H29" s="74">
        <f t="shared" si="7"/>
        <v>3414.7861199467461</v>
      </c>
      <c r="I29" s="36">
        <v>2787</v>
      </c>
      <c r="J29" s="74">
        <v>390.50081252065797</v>
      </c>
      <c r="K29" s="74">
        <f t="shared" si="2"/>
        <v>3236.4021199467461</v>
      </c>
      <c r="L29" s="36">
        <v>178.38399999999999</v>
      </c>
      <c r="M29" s="33">
        <v>26.5</v>
      </c>
      <c r="N29" s="33">
        <v>10.09</v>
      </c>
      <c r="O29" s="125">
        <v>630253</v>
      </c>
    </row>
    <row r="30" spans="1:15">
      <c r="A30" s="115" t="s">
        <v>494</v>
      </c>
      <c r="B30" s="36">
        <v>1348</v>
      </c>
      <c r="C30" s="36">
        <v>1264.5</v>
      </c>
      <c r="D30" s="36">
        <f t="shared" si="0"/>
        <v>1742.2340846184263</v>
      </c>
      <c r="E30" s="74">
        <f>+L29</f>
        <v>178.38399999999999</v>
      </c>
      <c r="F30" s="74">
        <v>2203.0549999999998</v>
      </c>
      <c r="G30" s="74">
        <v>2044.5524191994584</v>
      </c>
      <c r="H30" s="74">
        <f t="shared" ref="H30:H35" si="8">SUM(E30:G30)</f>
        <v>4425.9914191994585</v>
      </c>
      <c r="I30" s="36">
        <v>3721</v>
      </c>
      <c r="J30" s="74">
        <v>351.59872291374603</v>
      </c>
      <c r="K30" s="74">
        <f t="shared" si="2"/>
        <v>4141.7944191994584</v>
      </c>
      <c r="L30" s="36">
        <v>284.197</v>
      </c>
      <c r="M30" s="33">
        <v>20.6</v>
      </c>
      <c r="N30" s="33">
        <v>10.09</v>
      </c>
      <c r="O30" s="125">
        <v>465448</v>
      </c>
    </row>
    <row r="31" spans="1:15">
      <c r="A31" s="115" t="s">
        <v>492</v>
      </c>
      <c r="B31" s="201">
        <v>1715</v>
      </c>
      <c r="C31" s="201">
        <v>1556.7</v>
      </c>
      <c r="D31" s="201">
        <f t="shared" si="0"/>
        <v>1610.1978544356652</v>
      </c>
      <c r="E31" s="74">
        <f>+L30</f>
        <v>284.197</v>
      </c>
      <c r="F31" s="200">
        <v>2506.5949999999998</v>
      </c>
      <c r="G31" s="200">
        <v>1712.6889741851401</v>
      </c>
      <c r="H31" s="74">
        <f t="shared" si="8"/>
        <v>4503.4809741851404</v>
      </c>
      <c r="I31" s="201">
        <v>3826</v>
      </c>
      <c r="J31" s="200">
        <v>351.77349432279607</v>
      </c>
      <c r="K31" s="74">
        <f t="shared" si="2"/>
        <v>4262.1889741851401</v>
      </c>
      <c r="L31" s="201">
        <v>241.292</v>
      </c>
      <c r="M31" s="33">
        <v>16.899999999999999</v>
      </c>
      <c r="N31" s="33">
        <v>10.09</v>
      </c>
      <c r="O31" s="216">
        <v>423382</v>
      </c>
    </row>
    <row r="32" spans="1:15">
      <c r="A32" s="115" t="s">
        <v>495</v>
      </c>
      <c r="B32" s="201">
        <v>1777</v>
      </c>
      <c r="C32" s="201">
        <v>1713.5</v>
      </c>
      <c r="D32" s="201">
        <f t="shared" si="0"/>
        <v>1678.7721038809455</v>
      </c>
      <c r="E32" s="74">
        <f>+L31</f>
        <v>241.292</v>
      </c>
      <c r="F32" s="200">
        <v>2876.576</v>
      </c>
      <c r="G32" s="200">
        <v>791.0398796876101</v>
      </c>
      <c r="H32" s="74">
        <f t="shared" si="8"/>
        <v>3908.9078796876101</v>
      </c>
      <c r="I32" s="201">
        <v>3397.826</v>
      </c>
      <c r="J32" s="200">
        <v>388</v>
      </c>
      <c r="K32" s="74">
        <f t="shared" si="2"/>
        <v>3554.3828796876101</v>
      </c>
      <c r="L32" s="201">
        <v>354.52499999999998</v>
      </c>
      <c r="M32" s="33">
        <v>15.6</v>
      </c>
      <c r="N32" s="33">
        <v>10.09</v>
      </c>
      <c r="O32" s="216">
        <v>448552</v>
      </c>
    </row>
    <row r="33" spans="1:15">
      <c r="A33" s="115" t="s">
        <v>498</v>
      </c>
      <c r="B33" s="201">
        <v>1714</v>
      </c>
      <c r="C33" s="201">
        <v>1691.7</v>
      </c>
      <c r="D33" s="36">
        <f t="shared" si="0"/>
        <v>1820.0567476502927</v>
      </c>
      <c r="E33" s="74">
        <f>+L32</f>
        <v>354.52499999999998</v>
      </c>
      <c r="F33" s="200">
        <v>3078.99</v>
      </c>
      <c r="G33" s="200">
        <v>1531.7290787454181</v>
      </c>
      <c r="H33" s="74">
        <f t="shared" si="8"/>
        <v>4965.2440787454179</v>
      </c>
      <c r="I33" s="201">
        <v>4398</v>
      </c>
      <c r="J33" s="200">
        <v>262</v>
      </c>
      <c r="K33" s="74">
        <f t="shared" si="2"/>
        <v>4727.2440787454179</v>
      </c>
      <c r="L33" s="201">
        <v>238</v>
      </c>
      <c r="M33" s="33">
        <v>16.600000000000001</v>
      </c>
      <c r="N33" s="33">
        <v>10.09</v>
      </c>
      <c r="O33" s="216">
        <v>510098</v>
      </c>
    </row>
    <row r="34" spans="1:15">
      <c r="A34" s="129" t="s">
        <v>569</v>
      </c>
      <c r="B34" s="200">
        <v>2077</v>
      </c>
      <c r="C34" s="200">
        <v>2002</v>
      </c>
      <c r="D34" s="74">
        <f t="shared" si="0"/>
        <v>1526.1788211788212</v>
      </c>
      <c r="E34" s="74">
        <f>+L33</f>
        <v>238</v>
      </c>
      <c r="F34" s="200">
        <v>3055.41</v>
      </c>
      <c r="G34" s="200">
        <v>1425.006872757594</v>
      </c>
      <c r="H34" s="74">
        <f t="shared" si="8"/>
        <v>4718.4168727575943</v>
      </c>
      <c r="I34" s="200">
        <v>3874.1839999999993</v>
      </c>
      <c r="J34" s="200">
        <v>338.25914382582005</v>
      </c>
      <c r="K34" s="74">
        <f t="shared" si="2"/>
        <v>4524.9848727575945</v>
      </c>
      <c r="L34" s="200">
        <v>193.43199999999999</v>
      </c>
      <c r="M34" s="33">
        <v>17.5</v>
      </c>
      <c r="N34" s="73">
        <v>10.09</v>
      </c>
      <c r="O34" s="216">
        <v>532654</v>
      </c>
    </row>
    <row r="35" spans="1:15">
      <c r="A35" s="136" t="s">
        <v>628</v>
      </c>
      <c r="B35" s="199">
        <v>1990.7</v>
      </c>
      <c r="C35" s="199">
        <v>1943.5</v>
      </c>
      <c r="D35" s="37">
        <f t="shared" si="0"/>
        <v>1860.8489837921277</v>
      </c>
      <c r="E35" s="37">
        <f>L34</f>
        <v>193.43199999999999</v>
      </c>
      <c r="F35" s="199">
        <v>3616.56</v>
      </c>
      <c r="G35" s="199">
        <v>1257</v>
      </c>
      <c r="H35" s="37">
        <f t="shared" si="8"/>
        <v>5066.9920000000002</v>
      </c>
      <c r="I35" s="199">
        <v>4082</v>
      </c>
      <c r="J35" s="199">
        <v>478</v>
      </c>
      <c r="K35" s="37">
        <f t="shared" si="2"/>
        <v>4641.9920000000002</v>
      </c>
      <c r="L35" s="199">
        <v>425</v>
      </c>
      <c r="M35" s="316" t="s">
        <v>667</v>
      </c>
      <c r="N35" s="34">
        <v>10.09</v>
      </c>
      <c r="O35" s="261">
        <v>532654</v>
      </c>
    </row>
    <row r="36" spans="1:15" s="6" customFormat="1" ht="12" customHeight="1">
      <c r="A36" s="107" t="s">
        <v>434</v>
      </c>
    </row>
    <row r="37" spans="1:15" s="6" customFormat="1" ht="12" customHeight="1">
      <c r="A37" s="143" t="s">
        <v>552</v>
      </c>
      <c r="B37" s="48"/>
      <c r="C37" s="48"/>
      <c r="D37" s="48"/>
    </row>
    <row r="38" spans="1:15" ht="10.199999999999999" customHeight="1">
      <c r="A38" t="s">
        <v>553</v>
      </c>
      <c r="M38" s="161"/>
      <c r="N38" s="161"/>
      <c r="O38" s="161" t="s">
        <v>679</v>
      </c>
    </row>
  </sheetData>
  <phoneticPr fontId="0" type="noConversion"/>
  <pageMargins left="0.7" right="0.7" top="0.75" bottom="0.75" header="0.3" footer="0.3"/>
  <pageSetup scale="70" firstPageNumber="52" orientation="portrait" useFirstPageNumber="1" r:id="rId1"/>
  <headerFooter alignWithMargins="0">
    <oddFooter>&amp;C&amp;P
Oil Crops Yearbook/OCS-2018
March 2018
Economic Research Service, USDA</oddFooter>
  </headerFooter>
  <ignoredErrors>
    <ignoredError sqref="O6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38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0.42578125" customWidth="1"/>
    <col min="2" max="10" width="11.7109375" customWidth="1"/>
  </cols>
  <sheetData>
    <row r="1" spans="1:11">
      <c r="A1" s="114" t="s">
        <v>642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t="s">
        <v>20</v>
      </c>
      <c r="B2" s="383"/>
      <c r="C2" s="299" t="s">
        <v>119</v>
      </c>
      <c r="D2" s="279"/>
      <c r="E2" s="382"/>
      <c r="F2" s="390"/>
      <c r="G2" s="279" t="s">
        <v>117</v>
      </c>
      <c r="H2" s="382"/>
      <c r="I2" s="12"/>
      <c r="J2" s="21" t="s">
        <v>118</v>
      </c>
    </row>
    <row r="3" spans="1:11">
      <c r="A3" t="s">
        <v>100</v>
      </c>
      <c r="B3" s="364" t="s">
        <v>141</v>
      </c>
      <c r="C3" s="10" t="s">
        <v>256</v>
      </c>
      <c r="D3" s="183" t="s">
        <v>259</v>
      </c>
      <c r="E3" s="381" t="s">
        <v>267</v>
      </c>
      <c r="F3" s="364" t="s">
        <v>142</v>
      </c>
      <c r="G3" s="172" t="s">
        <v>90</v>
      </c>
      <c r="H3" s="367" t="s">
        <v>3</v>
      </c>
      <c r="I3" s="172" t="s">
        <v>143</v>
      </c>
      <c r="J3" s="7" t="s">
        <v>286</v>
      </c>
    </row>
    <row r="4" spans="1:11">
      <c r="A4" s="150" t="s">
        <v>140</v>
      </c>
      <c r="B4" s="371" t="s">
        <v>270</v>
      </c>
      <c r="C4" s="9"/>
      <c r="D4" s="9"/>
      <c r="E4" s="369"/>
      <c r="F4" s="371"/>
      <c r="G4" s="9"/>
      <c r="H4" s="369"/>
      <c r="I4" s="175" t="s">
        <v>110</v>
      </c>
      <c r="J4" s="9"/>
    </row>
    <row r="5" spans="1:11" ht="12.6" customHeight="1">
      <c r="C5" s="268"/>
      <c r="D5" s="268"/>
      <c r="E5" s="295" t="s">
        <v>91</v>
      </c>
      <c r="F5" s="268"/>
      <c r="G5" s="268"/>
      <c r="H5" s="268"/>
      <c r="I5" s="268"/>
      <c r="J5" s="7" t="s">
        <v>453</v>
      </c>
    </row>
    <row r="6" spans="1:11" ht="12.6" customHeight="1">
      <c r="B6" s="35"/>
      <c r="C6" s="35"/>
      <c r="D6" s="35"/>
      <c r="E6" s="35"/>
      <c r="F6" s="35"/>
      <c r="G6" s="35"/>
      <c r="H6" s="35"/>
      <c r="I6" s="35"/>
      <c r="J6" s="7"/>
    </row>
    <row r="7" spans="1:11">
      <c r="A7" s="10" t="s">
        <v>11</v>
      </c>
      <c r="B7" s="12">
        <v>41</v>
      </c>
      <c r="C7" s="12">
        <v>36.308234301863997</v>
      </c>
      <c r="D7" s="23">
        <v>815.48085931200001</v>
      </c>
      <c r="E7" s="23">
        <f t="shared" ref="E7:E16" si="0">SUM(B7:D7)</f>
        <v>892.789093613864</v>
      </c>
      <c r="F7" s="36">
        <f t="shared" ref="F7:F16" si="1">+H7-G7</f>
        <v>806.16429816129801</v>
      </c>
      <c r="G7" s="12">
        <v>15.224795452566001</v>
      </c>
      <c r="H7" s="23">
        <f t="shared" ref="H7:H34" si="2">+E7-I7</f>
        <v>821.38909361386402</v>
      </c>
      <c r="I7" s="12">
        <v>71.400000000000006</v>
      </c>
      <c r="J7" s="55">
        <v>23.65</v>
      </c>
      <c r="K7" s="36"/>
    </row>
    <row r="8" spans="1:11">
      <c r="A8" s="10" t="s">
        <v>12</v>
      </c>
      <c r="B8" s="12">
        <f t="shared" ref="B8:B16" si="3">+I7</f>
        <v>71.400000000000006</v>
      </c>
      <c r="C8" s="12">
        <v>126.22527012051052</v>
      </c>
      <c r="D8" s="23">
        <v>861.18487799400009</v>
      </c>
      <c r="E8" s="23">
        <f t="shared" si="0"/>
        <v>1058.8101481145106</v>
      </c>
      <c r="F8" s="36">
        <f t="shared" si="1"/>
        <v>976.29388564867463</v>
      </c>
      <c r="G8" s="12">
        <v>15.816262465835999</v>
      </c>
      <c r="H8" s="23">
        <f t="shared" si="2"/>
        <v>992.11014811451059</v>
      </c>
      <c r="I8" s="12">
        <v>66.7</v>
      </c>
      <c r="J8" s="55">
        <v>21.98</v>
      </c>
      <c r="K8" s="36"/>
    </row>
    <row r="9" spans="1:11">
      <c r="A9" s="10" t="s">
        <v>13</v>
      </c>
      <c r="B9" s="12">
        <f t="shared" si="3"/>
        <v>66.7</v>
      </c>
      <c r="C9" s="12">
        <v>351.67289329486135</v>
      </c>
      <c r="D9" s="23">
        <v>903.742901082</v>
      </c>
      <c r="E9" s="23">
        <f t="shared" si="0"/>
        <v>1322.1157943768612</v>
      </c>
      <c r="F9" s="36">
        <f t="shared" si="1"/>
        <v>1109.3208811965594</v>
      </c>
      <c r="G9" s="12">
        <v>76.194913180302009</v>
      </c>
      <c r="H9" s="23">
        <f t="shared" si="2"/>
        <v>1185.5157943768613</v>
      </c>
      <c r="I9" s="12">
        <v>136.6</v>
      </c>
      <c r="J9" s="55">
        <v>23.97</v>
      </c>
      <c r="K9" s="36"/>
    </row>
    <row r="10" spans="1:11">
      <c r="A10" s="10" t="s">
        <v>14</v>
      </c>
      <c r="B10" s="12">
        <f t="shared" si="3"/>
        <v>136.6</v>
      </c>
      <c r="C10" s="12">
        <v>370.98611957999697</v>
      </c>
      <c r="D10" s="23">
        <v>937.5463702080001</v>
      </c>
      <c r="E10" s="23">
        <f t="shared" si="0"/>
        <v>1445.1324897879972</v>
      </c>
      <c r="F10" s="36">
        <f t="shared" si="1"/>
        <v>1237.5415004847532</v>
      </c>
      <c r="G10" s="12">
        <v>153.390989303244</v>
      </c>
      <c r="H10" s="23">
        <f t="shared" si="2"/>
        <v>1390.9324897879972</v>
      </c>
      <c r="I10" s="12">
        <v>54.2</v>
      </c>
      <c r="J10" s="55">
        <v>28.55</v>
      </c>
      <c r="K10" s="36"/>
    </row>
    <row r="11" spans="1:11">
      <c r="A11" s="10" t="s">
        <v>15</v>
      </c>
      <c r="B11" s="12">
        <f t="shared" si="3"/>
        <v>54.2</v>
      </c>
      <c r="C11" s="12">
        <v>361.390168916996</v>
      </c>
      <c r="D11" s="23">
        <v>1087.707583872</v>
      </c>
      <c r="E11" s="23">
        <f t="shared" si="0"/>
        <v>1503.2977527889959</v>
      </c>
      <c r="F11" s="36">
        <f t="shared" si="1"/>
        <v>1277.6389228865919</v>
      </c>
      <c r="G11" s="12">
        <v>147.05882990240403</v>
      </c>
      <c r="H11" s="23">
        <f t="shared" si="2"/>
        <v>1424.697752788996</v>
      </c>
      <c r="I11" s="12">
        <v>78.599999999999994</v>
      </c>
      <c r="J11" s="55">
        <v>29.03</v>
      </c>
      <c r="K11" s="36"/>
    </row>
    <row r="12" spans="1:11">
      <c r="A12" s="10" t="s">
        <v>16</v>
      </c>
      <c r="B12" s="12">
        <f t="shared" si="3"/>
        <v>78.599999999999994</v>
      </c>
      <c r="C12" s="12">
        <v>410.55523585860863</v>
      </c>
      <c r="D12" s="23">
        <v>1074.9406178700001</v>
      </c>
      <c r="E12" s="23">
        <f t="shared" si="0"/>
        <v>1564.0958537286087</v>
      </c>
      <c r="F12" s="36">
        <f t="shared" si="1"/>
        <v>1201.2958537286088</v>
      </c>
      <c r="G12" s="12">
        <v>295</v>
      </c>
      <c r="H12" s="23">
        <f t="shared" si="2"/>
        <v>1496.2958537286088</v>
      </c>
      <c r="I12" s="12">
        <v>67.8</v>
      </c>
      <c r="J12" s="55">
        <v>25.68</v>
      </c>
      <c r="K12" s="36"/>
    </row>
    <row r="13" spans="1:11">
      <c r="A13" s="10" t="s">
        <v>17</v>
      </c>
      <c r="B13" s="12">
        <f t="shared" si="3"/>
        <v>67.8</v>
      </c>
      <c r="C13" s="12">
        <v>567.03583626274815</v>
      </c>
      <c r="D13" s="23">
        <v>1088.3381057639999</v>
      </c>
      <c r="E13" s="23">
        <f t="shared" si="0"/>
        <v>1723.1739420267481</v>
      </c>
      <c r="F13" s="36">
        <f t="shared" si="1"/>
        <v>1262.0739420267482</v>
      </c>
      <c r="G13" s="12">
        <v>349</v>
      </c>
      <c r="H13" s="23">
        <f t="shared" si="2"/>
        <v>1611.0739420267482</v>
      </c>
      <c r="I13" s="12">
        <v>112.1</v>
      </c>
      <c r="J13" s="55">
        <v>28.83</v>
      </c>
      <c r="K13" s="36"/>
    </row>
    <row r="14" spans="1:11">
      <c r="A14" s="10" t="s">
        <v>18</v>
      </c>
      <c r="B14" s="12">
        <f t="shared" si="3"/>
        <v>112.1</v>
      </c>
      <c r="C14" s="12">
        <v>636.36348191963134</v>
      </c>
      <c r="D14" s="23">
        <v>1060.6392349560001</v>
      </c>
      <c r="E14" s="23">
        <f t="shared" si="0"/>
        <v>1809.1027168756314</v>
      </c>
      <c r="F14" s="36">
        <f t="shared" si="1"/>
        <v>1367.8027168756314</v>
      </c>
      <c r="G14" s="12">
        <v>272</v>
      </c>
      <c r="H14" s="23">
        <f t="shared" si="2"/>
        <v>1639.8027168756314</v>
      </c>
      <c r="I14" s="12">
        <v>169.3</v>
      </c>
      <c r="J14" s="55">
        <v>22.48</v>
      </c>
      <c r="K14" s="36"/>
    </row>
    <row r="15" spans="1:11">
      <c r="A15" s="10" t="s">
        <v>19</v>
      </c>
      <c r="B15" s="12">
        <f t="shared" si="3"/>
        <v>169.3</v>
      </c>
      <c r="C15" s="12">
        <v>700.16255646288084</v>
      </c>
      <c r="D15" s="23">
        <v>1145.4973403580002</v>
      </c>
      <c r="E15" s="23">
        <f t="shared" si="0"/>
        <v>2014.9598968208811</v>
      </c>
      <c r="F15" s="36">
        <f t="shared" si="1"/>
        <v>1524.6598968208812</v>
      </c>
      <c r="G15" s="12">
        <v>284</v>
      </c>
      <c r="H15" s="23">
        <f t="shared" si="2"/>
        <v>1808.6598968208812</v>
      </c>
      <c r="I15" s="12">
        <v>206.3</v>
      </c>
      <c r="J15" s="55">
        <v>17.11</v>
      </c>
      <c r="K15" s="36"/>
    </row>
    <row r="16" spans="1:11">
      <c r="A16" s="62" t="s">
        <v>337</v>
      </c>
      <c r="B16" s="52">
        <f t="shared" si="3"/>
        <v>206.3</v>
      </c>
      <c r="C16" s="52">
        <v>759.06192213603731</v>
      </c>
      <c r="D16" s="54">
        <v>1193.1987465720001</v>
      </c>
      <c r="E16" s="54">
        <f t="shared" si="0"/>
        <v>2158.5606687080372</v>
      </c>
      <c r="F16" s="74">
        <f t="shared" si="1"/>
        <v>1861.760668708037</v>
      </c>
      <c r="G16" s="52">
        <v>187</v>
      </c>
      <c r="H16" s="54">
        <f t="shared" si="2"/>
        <v>2048.760668708037</v>
      </c>
      <c r="I16" s="52">
        <v>109.8</v>
      </c>
      <c r="J16" s="55">
        <v>17.559999999999999</v>
      </c>
      <c r="K16" s="36"/>
    </row>
    <row r="17" spans="1:11">
      <c r="A17" s="62" t="s">
        <v>341</v>
      </c>
      <c r="B17" s="52">
        <f t="shared" ref="B17:B22" si="4">+I16</f>
        <v>109.8</v>
      </c>
      <c r="C17" s="52">
        <v>631.29694898677985</v>
      </c>
      <c r="D17" s="54">
        <v>1107.9548323200002</v>
      </c>
      <c r="E17" s="54">
        <f t="shared" ref="E17:E22" si="5">SUM(B17:D17)</f>
        <v>1849.05178130678</v>
      </c>
      <c r="F17" s="74">
        <f t="shared" ref="F17:F22" si="6">+H17-G17</f>
        <v>1541.6517813067799</v>
      </c>
      <c r="G17" s="52">
        <v>255</v>
      </c>
      <c r="H17" s="54">
        <f t="shared" si="2"/>
        <v>1796.6517813067799</v>
      </c>
      <c r="I17" s="52">
        <v>52.4</v>
      </c>
      <c r="J17" s="55">
        <v>23.45</v>
      </c>
      <c r="K17" s="36"/>
    </row>
    <row r="18" spans="1:11">
      <c r="A18" s="62" t="s">
        <v>353</v>
      </c>
      <c r="B18" s="52">
        <f t="shared" si="4"/>
        <v>52.4</v>
      </c>
      <c r="C18" s="52">
        <v>535.30659714701835</v>
      </c>
      <c r="D18" s="54">
        <v>981.38549914019995</v>
      </c>
      <c r="E18" s="54">
        <f t="shared" si="5"/>
        <v>1569.0920962872183</v>
      </c>
      <c r="F18" s="74">
        <f t="shared" si="6"/>
        <v>1332.5070962872182</v>
      </c>
      <c r="G18" s="52">
        <v>160.52799999999999</v>
      </c>
      <c r="H18" s="54">
        <f t="shared" si="2"/>
        <v>1493.0350962872183</v>
      </c>
      <c r="I18" s="52">
        <v>76.057000000000002</v>
      </c>
      <c r="J18" s="55">
        <v>29.75</v>
      </c>
      <c r="K18" s="36"/>
    </row>
    <row r="19" spans="1:11">
      <c r="A19" s="62" t="s">
        <v>364</v>
      </c>
      <c r="B19" s="52">
        <f t="shared" si="4"/>
        <v>76.057000000000002</v>
      </c>
      <c r="C19" s="52">
        <v>637.96903746526107</v>
      </c>
      <c r="D19" s="54">
        <v>1222.7362721280001</v>
      </c>
      <c r="E19" s="54">
        <f t="shared" si="5"/>
        <v>1936.7623095932613</v>
      </c>
      <c r="F19" s="74">
        <f t="shared" si="6"/>
        <v>1567.3613095932615</v>
      </c>
      <c r="G19" s="52">
        <v>278.00299999999999</v>
      </c>
      <c r="H19" s="54">
        <f t="shared" si="2"/>
        <v>1845.3643095932614</v>
      </c>
      <c r="I19" s="52">
        <v>91.397999999999996</v>
      </c>
      <c r="J19" s="55">
        <v>33.76</v>
      </c>
      <c r="K19" s="36"/>
    </row>
    <row r="20" spans="1:11">
      <c r="A20" s="62" t="s">
        <v>366</v>
      </c>
      <c r="B20" s="52">
        <f t="shared" si="4"/>
        <v>91.397999999999996</v>
      </c>
      <c r="C20" s="52">
        <v>832.25867613789922</v>
      </c>
      <c r="D20" s="54">
        <v>1133.2470000000001</v>
      </c>
      <c r="E20" s="54">
        <f t="shared" si="5"/>
        <v>2056.9036761378993</v>
      </c>
      <c r="F20" s="74">
        <f t="shared" si="6"/>
        <v>1660.4126761378993</v>
      </c>
      <c r="G20" s="52">
        <v>268.50700000000001</v>
      </c>
      <c r="H20" s="54">
        <f t="shared" si="2"/>
        <v>1928.9196761378994</v>
      </c>
      <c r="I20" s="52">
        <v>127.98399999999999</v>
      </c>
      <c r="J20" s="55">
        <v>30.78</v>
      </c>
      <c r="K20" s="36"/>
    </row>
    <row r="21" spans="1:11">
      <c r="A21" s="62" t="s">
        <v>401</v>
      </c>
      <c r="B21" s="52">
        <f t="shared" si="4"/>
        <v>127.98399999999999</v>
      </c>
      <c r="C21" s="52">
        <v>928.17222296226657</v>
      </c>
      <c r="D21" s="54">
        <v>1597.797</v>
      </c>
      <c r="E21" s="54">
        <f t="shared" si="5"/>
        <v>2653.9532229622664</v>
      </c>
      <c r="F21" s="74">
        <f t="shared" si="6"/>
        <v>1919.0077029622664</v>
      </c>
      <c r="G21" s="52">
        <v>471.44551999999999</v>
      </c>
      <c r="H21" s="54">
        <f t="shared" si="2"/>
        <v>2390.4532229622664</v>
      </c>
      <c r="I21" s="52">
        <v>263.5</v>
      </c>
      <c r="J21" s="55">
        <v>31</v>
      </c>
      <c r="K21" s="36"/>
    </row>
    <row r="22" spans="1:11">
      <c r="A22" s="62" t="s">
        <v>400</v>
      </c>
      <c r="B22" s="52">
        <f t="shared" si="4"/>
        <v>263.5</v>
      </c>
      <c r="C22" s="52">
        <v>932.35848317969794</v>
      </c>
      <c r="D22" s="54">
        <v>1567.806</v>
      </c>
      <c r="E22" s="54">
        <f t="shared" si="5"/>
        <v>2763.664483179698</v>
      </c>
      <c r="F22" s="74">
        <f t="shared" si="6"/>
        <v>1984.7564831796981</v>
      </c>
      <c r="G22" s="52">
        <v>629.70799999999997</v>
      </c>
      <c r="H22" s="54">
        <f t="shared" si="2"/>
        <v>2614.4644831796982</v>
      </c>
      <c r="I22" s="52">
        <v>149.19999999999999</v>
      </c>
      <c r="J22" s="55">
        <v>40.57</v>
      </c>
      <c r="K22" s="36"/>
    </row>
    <row r="23" spans="1:11">
      <c r="A23" s="62" t="s">
        <v>404</v>
      </c>
      <c r="B23" s="52">
        <f t="shared" ref="B23:B28" si="7">+I22</f>
        <v>149.19999999999999</v>
      </c>
      <c r="C23" s="52">
        <v>1015.0025294441491</v>
      </c>
      <c r="D23" s="54">
        <v>2240.6689999999999</v>
      </c>
      <c r="E23" s="54">
        <f t="shared" ref="E23:E28" si="8">SUM(B23:D23)</f>
        <v>3404.871529444149</v>
      </c>
      <c r="F23" s="74">
        <f t="shared" ref="F23:F28" si="9">+H23-G23</f>
        <v>2923.3665294441489</v>
      </c>
      <c r="G23" s="52">
        <v>348.505</v>
      </c>
      <c r="H23" s="54">
        <f t="shared" si="2"/>
        <v>3271.871529444149</v>
      </c>
      <c r="I23" s="52">
        <v>133</v>
      </c>
      <c r="J23" s="55">
        <v>65.64</v>
      </c>
      <c r="K23" s="36"/>
    </row>
    <row r="24" spans="1:11">
      <c r="A24" s="62" t="s">
        <v>411</v>
      </c>
      <c r="B24" s="52">
        <f t="shared" si="7"/>
        <v>133</v>
      </c>
      <c r="C24" s="52">
        <v>1103</v>
      </c>
      <c r="D24" s="54">
        <v>2315.194</v>
      </c>
      <c r="E24" s="54">
        <f t="shared" si="8"/>
        <v>3551.194</v>
      </c>
      <c r="F24" s="74">
        <f t="shared" si="9"/>
        <v>2830.6699999999996</v>
      </c>
      <c r="G24" s="52">
        <v>548.72400000000005</v>
      </c>
      <c r="H24" s="54">
        <f t="shared" si="2"/>
        <v>3379.3939999999998</v>
      </c>
      <c r="I24" s="52">
        <v>171.8</v>
      </c>
      <c r="J24" s="55">
        <v>39.54</v>
      </c>
      <c r="K24" s="36"/>
    </row>
    <row r="25" spans="1:11">
      <c r="A25" s="115" t="s">
        <v>417</v>
      </c>
      <c r="B25" s="52">
        <f t="shared" si="7"/>
        <v>171.8</v>
      </c>
      <c r="C25" s="52">
        <v>1072</v>
      </c>
      <c r="D25" s="54">
        <v>2350.9380000000001</v>
      </c>
      <c r="E25" s="54">
        <f t="shared" si="8"/>
        <v>3594.7380000000003</v>
      </c>
      <c r="F25" s="74">
        <f t="shared" si="9"/>
        <v>2847.9120000000003</v>
      </c>
      <c r="G25" s="52">
        <v>553.09400000000005</v>
      </c>
      <c r="H25" s="54">
        <f t="shared" si="2"/>
        <v>3401.0060000000003</v>
      </c>
      <c r="I25" s="52">
        <v>193.732</v>
      </c>
      <c r="J25" s="55">
        <v>42.88</v>
      </c>
      <c r="K25" s="36"/>
    </row>
    <row r="26" spans="1:11">
      <c r="A26" s="115" t="s">
        <v>420</v>
      </c>
      <c r="B26" s="52">
        <f t="shared" si="7"/>
        <v>193.732</v>
      </c>
      <c r="C26" s="52">
        <v>1136</v>
      </c>
      <c r="D26" s="54">
        <v>3130.9859999999999</v>
      </c>
      <c r="E26" s="54">
        <f t="shared" si="8"/>
        <v>4460.7179999999998</v>
      </c>
      <c r="F26" s="74">
        <f t="shared" si="9"/>
        <v>3651.0846296281479</v>
      </c>
      <c r="G26" s="52">
        <v>510.63337037185198</v>
      </c>
      <c r="H26" s="54">
        <f t="shared" si="2"/>
        <v>4161.7179999999998</v>
      </c>
      <c r="I26" s="52">
        <v>299</v>
      </c>
      <c r="J26" s="55">
        <v>58.68</v>
      </c>
      <c r="K26" s="36"/>
    </row>
    <row r="27" spans="1:11">
      <c r="A27" s="115" t="s">
        <v>425</v>
      </c>
      <c r="B27" s="52">
        <f t="shared" si="7"/>
        <v>299</v>
      </c>
      <c r="C27" s="52">
        <v>1099</v>
      </c>
      <c r="D27" s="54">
        <v>3288.7330000000002</v>
      </c>
      <c r="E27" s="54">
        <f t="shared" si="8"/>
        <v>4686.7330000000002</v>
      </c>
      <c r="F27" s="74">
        <f t="shared" si="9"/>
        <v>3834.7926474462142</v>
      </c>
      <c r="G27" s="52">
        <v>663.94035255378606</v>
      </c>
      <c r="H27" s="54">
        <f t="shared" si="2"/>
        <v>4498.7330000000002</v>
      </c>
      <c r="I27" s="52">
        <v>188</v>
      </c>
      <c r="J27" s="55">
        <v>57.19</v>
      </c>
      <c r="K27" s="36"/>
    </row>
    <row r="28" spans="1:11">
      <c r="A28" s="115" t="s">
        <v>438</v>
      </c>
      <c r="B28" s="52">
        <f t="shared" si="7"/>
        <v>188</v>
      </c>
      <c r="C28" s="52">
        <v>1274</v>
      </c>
      <c r="D28" s="54">
        <v>2760.6170000000002</v>
      </c>
      <c r="E28" s="54">
        <f t="shared" si="8"/>
        <v>4222.6170000000002</v>
      </c>
      <c r="F28" s="74">
        <f t="shared" si="9"/>
        <v>3607.4241178921793</v>
      </c>
      <c r="G28" s="52">
        <v>475.19288210782082</v>
      </c>
      <c r="H28" s="54">
        <f t="shared" si="2"/>
        <v>4082.6170000000002</v>
      </c>
      <c r="I28" s="52">
        <v>140</v>
      </c>
      <c r="J28" s="55">
        <v>56.17</v>
      </c>
      <c r="K28" s="36"/>
    </row>
    <row r="29" spans="1:11">
      <c r="A29" s="115" t="s">
        <v>494</v>
      </c>
      <c r="B29" s="52">
        <f>+I28</f>
        <v>140</v>
      </c>
      <c r="C29" s="52">
        <v>1562</v>
      </c>
      <c r="D29" s="54">
        <v>3390.5639999999999</v>
      </c>
      <c r="E29" s="54">
        <f t="shared" ref="E29:E34" si="10">SUM(B29:D29)</f>
        <v>5092.5640000000003</v>
      </c>
      <c r="F29" s="74">
        <f t="shared" ref="F29:F34" si="11">+H29-G29</f>
        <v>4555.1610000000001</v>
      </c>
      <c r="G29" s="52">
        <v>262.40300000000002</v>
      </c>
      <c r="H29" s="54">
        <f t="shared" si="2"/>
        <v>4817.5640000000003</v>
      </c>
      <c r="I29" s="52">
        <v>275</v>
      </c>
      <c r="J29" s="55">
        <v>43.7</v>
      </c>
      <c r="K29" s="36"/>
    </row>
    <row r="30" spans="1:11">
      <c r="A30" s="115" t="s">
        <v>496</v>
      </c>
      <c r="B30" s="52">
        <f>+I29</f>
        <v>275</v>
      </c>
      <c r="C30" s="92">
        <v>1552</v>
      </c>
      <c r="D30" s="204">
        <v>3692.2186000000002</v>
      </c>
      <c r="E30" s="54">
        <f t="shared" si="10"/>
        <v>5519.2186000000002</v>
      </c>
      <c r="F30" s="74">
        <f t="shared" si="11"/>
        <v>5010.820456299286</v>
      </c>
      <c r="G30" s="92">
        <v>241.398143700714</v>
      </c>
      <c r="H30" s="54">
        <f t="shared" si="2"/>
        <v>5252.2186000000002</v>
      </c>
      <c r="I30" s="92">
        <v>267</v>
      </c>
      <c r="J30" s="223">
        <v>37.81</v>
      </c>
      <c r="K30" s="36"/>
    </row>
    <row r="31" spans="1:11">
      <c r="A31" s="115" t="s">
        <v>505</v>
      </c>
      <c r="B31" s="52">
        <f>+I30</f>
        <v>267</v>
      </c>
      <c r="C31" s="92">
        <v>1587.894</v>
      </c>
      <c r="D31" s="204">
        <v>3955.7310694888138</v>
      </c>
      <c r="E31" s="54">
        <f t="shared" si="10"/>
        <v>5810.625069488814</v>
      </c>
      <c r="F31" s="74">
        <f t="shared" si="11"/>
        <v>5312.0579366803904</v>
      </c>
      <c r="G31" s="92">
        <v>245.938132808424</v>
      </c>
      <c r="H31" s="54">
        <f t="shared" si="2"/>
        <v>5557.9960694888141</v>
      </c>
      <c r="I31" s="92">
        <v>252.62899999999999</v>
      </c>
      <c r="J31" s="223">
        <v>35.270000000000003</v>
      </c>
      <c r="K31" s="36"/>
    </row>
    <row r="32" spans="1:11">
      <c r="A32" s="115" t="s">
        <v>498</v>
      </c>
      <c r="B32" s="52">
        <f>+I31</f>
        <v>252.62899999999999</v>
      </c>
      <c r="C32" s="92">
        <v>1751.6469999999997</v>
      </c>
      <c r="D32" s="204">
        <v>4405.5075550462452</v>
      </c>
      <c r="E32" s="54">
        <f t="shared" si="10"/>
        <v>6409.7835550462451</v>
      </c>
      <c r="F32" s="74">
        <f t="shared" si="11"/>
        <v>5843.7835550462451</v>
      </c>
      <c r="G32" s="92">
        <v>271</v>
      </c>
      <c r="H32" s="54">
        <f t="shared" si="2"/>
        <v>6114.7835550462451</v>
      </c>
      <c r="I32" s="92">
        <v>295</v>
      </c>
      <c r="J32" s="223">
        <v>38.700000000000003</v>
      </c>
      <c r="K32" s="36"/>
    </row>
    <row r="33" spans="1:12">
      <c r="A33" s="65" t="s">
        <v>636</v>
      </c>
      <c r="B33" s="52">
        <f>+I32</f>
        <v>295</v>
      </c>
      <c r="C33" s="92">
        <v>1654.4920000000002</v>
      </c>
      <c r="D33" s="204">
        <v>4078.4122709027711</v>
      </c>
      <c r="E33" s="54">
        <f t="shared" si="10"/>
        <v>6027.9042709027708</v>
      </c>
      <c r="F33" s="74">
        <f t="shared" si="11"/>
        <v>5601.830493192123</v>
      </c>
      <c r="G33" s="92">
        <v>231.50577771064803</v>
      </c>
      <c r="H33" s="54">
        <f t="shared" si="2"/>
        <v>5833.3362709027706</v>
      </c>
      <c r="I33" s="92">
        <v>194.56799999999998</v>
      </c>
      <c r="J33" s="223">
        <v>38.270000000000003</v>
      </c>
      <c r="K33" s="36"/>
    </row>
    <row r="34" spans="1:12">
      <c r="A34" s="46" t="s">
        <v>635</v>
      </c>
      <c r="B34" s="13">
        <f>I33</f>
        <v>194.56799999999998</v>
      </c>
      <c r="C34" s="240">
        <v>1764</v>
      </c>
      <c r="D34" s="203">
        <v>4176</v>
      </c>
      <c r="E34" s="24">
        <f t="shared" si="10"/>
        <v>6134.5680000000002</v>
      </c>
      <c r="F34" s="37">
        <f t="shared" si="11"/>
        <v>5646.5680000000002</v>
      </c>
      <c r="G34" s="240">
        <v>243</v>
      </c>
      <c r="H34" s="24">
        <f t="shared" si="2"/>
        <v>5889.5680000000002</v>
      </c>
      <c r="I34" s="240">
        <v>245</v>
      </c>
      <c r="J34" s="319" t="s">
        <v>668</v>
      </c>
      <c r="K34" s="36"/>
    </row>
    <row r="35" spans="1:12" ht="13.2" customHeight="1">
      <c r="A35" s="107" t="s">
        <v>370</v>
      </c>
    </row>
    <row r="36" spans="1:12" ht="13.2" customHeight="1">
      <c r="A36" s="107" t="s">
        <v>554</v>
      </c>
    </row>
    <row r="37" spans="1:12">
      <c r="A37" s="107" t="s">
        <v>555</v>
      </c>
    </row>
    <row r="38" spans="1:12">
      <c r="I38" s="270"/>
      <c r="J38" s="270" t="s">
        <v>679</v>
      </c>
      <c r="K38" s="161"/>
      <c r="L38" s="161"/>
    </row>
  </sheetData>
  <phoneticPr fontId="0" type="noConversion"/>
  <pageMargins left="0.7" right="0.7" top="0.75" bottom="0.75" header="0.3" footer="0.3"/>
  <pageSetup scale="90" firstPageNumber="53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J40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1.28515625" customWidth="1"/>
    <col min="2" max="10" width="11.7109375" customWidth="1"/>
    <col min="11" max="11" width="10.7109375" customWidth="1"/>
  </cols>
  <sheetData>
    <row r="1" spans="1:10">
      <c r="A1" s="114" t="s">
        <v>682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20</v>
      </c>
      <c r="B2" s="279"/>
      <c r="C2" s="299" t="s">
        <v>119</v>
      </c>
      <c r="D2" s="279"/>
      <c r="E2" s="279"/>
      <c r="F2" s="390"/>
      <c r="G2" s="271" t="s">
        <v>117</v>
      </c>
      <c r="H2" s="382"/>
      <c r="I2" s="12"/>
      <c r="J2" s="21" t="s">
        <v>118</v>
      </c>
    </row>
    <row r="3" spans="1:10">
      <c r="A3" t="s">
        <v>100</v>
      </c>
      <c r="B3" s="7" t="s">
        <v>141</v>
      </c>
      <c r="C3" s="10" t="s">
        <v>256</v>
      </c>
      <c r="D3" s="172" t="s">
        <v>88</v>
      </c>
      <c r="E3" s="172" t="s">
        <v>3</v>
      </c>
      <c r="F3" s="398" t="s">
        <v>142</v>
      </c>
      <c r="G3" s="172" t="s">
        <v>90</v>
      </c>
      <c r="H3" s="381" t="s">
        <v>3</v>
      </c>
      <c r="I3" s="7" t="s">
        <v>143</v>
      </c>
      <c r="J3" s="7" t="s">
        <v>360</v>
      </c>
    </row>
    <row r="4" spans="1:10">
      <c r="A4" s="149" t="s">
        <v>457</v>
      </c>
      <c r="B4" s="9" t="s">
        <v>270</v>
      </c>
      <c r="C4" s="9"/>
      <c r="D4" s="9"/>
      <c r="E4" s="9"/>
      <c r="F4" s="371"/>
      <c r="G4" s="9"/>
      <c r="H4" s="369"/>
      <c r="I4" s="9" t="s">
        <v>110</v>
      </c>
      <c r="J4" s="9"/>
    </row>
    <row r="5" spans="1:10">
      <c r="C5" s="268"/>
      <c r="D5" s="268"/>
      <c r="E5" s="294" t="s">
        <v>201</v>
      </c>
      <c r="F5" s="268"/>
      <c r="G5" s="268"/>
      <c r="H5" s="268"/>
      <c r="I5" s="268"/>
      <c r="J5" s="7" t="s">
        <v>287</v>
      </c>
    </row>
    <row r="7" spans="1:10">
      <c r="A7" s="10" t="s">
        <v>11</v>
      </c>
      <c r="B7" s="12">
        <v>6</v>
      </c>
      <c r="C7" s="12">
        <v>28.838142016943259</v>
      </c>
      <c r="D7" s="12">
        <v>621.36742842568799</v>
      </c>
      <c r="E7" s="12">
        <f t="shared" ref="E7:E14" si="0">SUM(B7:D7)</f>
        <v>656.20557044263126</v>
      </c>
      <c r="F7" s="12">
        <f t="shared" ref="F7:F14" si="1">+H7-G7</f>
        <v>650.20557044263126</v>
      </c>
      <c r="G7" s="12">
        <v>0</v>
      </c>
      <c r="H7" s="12">
        <f t="shared" ref="H7:H34" si="2">+E7-I7</f>
        <v>650.20557044263126</v>
      </c>
      <c r="I7" s="12">
        <v>6</v>
      </c>
      <c r="J7" s="55">
        <v>130.63999999999999</v>
      </c>
    </row>
    <row r="8" spans="1:10">
      <c r="A8" s="10" t="s">
        <v>12</v>
      </c>
      <c r="B8" s="12">
        <f t="shared" ref="B8:B14" si="3">+I7</f>
        <v>6</v>
      </c>
      <c r="C8" s="12">
        <v>96.974640250672678</v>
      </c>
      <c r="D8" s="12">
        <v>603.4539134604961</v>
      </c>
      <c r="E8" s="12">
        <f t="shared" si="0"/>
        <v>706.42855371116877</v>
      </c>
      <c r="F8" s="12">
        <f t="shared" si="1"/>
        <v>700.42855371116877</v>
      </c>
      <c r="G8" s="12">
        <v>0</v>
      </c>
      <c r="H8" s="12">
        <f t="shared" si="2"/>
        <v>700.42855371116877</v>
      </c>
      <c r="I8" s="12">
        <v>6</v>
      </c>
      <c r="J8" s="55">
        <v>138</v>
      </c>
    </row>
    <row r="9" spans="1:10">
      <c r="A9" s="10" t="s">
        <v>13</v>
      </c>
      <c r="B9" s="12">
        <f t="shared" si="3"/>
        <v>6</v>
      </c>
      <c r="C9" s="12">
        <v>247.86450101494103</v>
      </c>
      <c r="D9" s="12">
        <v>779.89454544393016</v>
      </c>
      <c r="E9" s="12">
        <f t="shared" si="0"/>
        <v>1033.7590464588711</v>
      </c>
      <c r="F9" s="12">
        <f t="shared" si="1"/>
        <v>1027.7590464588711</v>
      </c>
      <c r="G9" s="12">
        <v>0</v>
      </c>
      <c r="H9" s="12">
        <f t="shared" si="2"/>
        <v>1027.7590464588711</v>
      </c>
      <c r="I9" s="12">
        <v>6</v>
      </c>
      <c r="J9" s="55">
        <v>129</v>
      </c>
    </row>
    <row r="10" spans="1:10">
      <c r="A10" s="10" t="s">
        <v>14</v>
      </c>
      <c r="B10" s="12">
        <f t="shared" si="3"/>
        <v>6</v>
      </c>
      <c r="C10" s="12">
        <v>253.78064028029596</v>
      </c>
      <c r="D10" s="12">
        <v>815.05850885234997</v>
      </c>
      <c r="E10" s="12">
        <f t="shared" si="0"/>
        <v>1074.8391491326461</v>
      </c>
      <c r="F10" s="12">
        <f t="shared" si="1"/>
        <v>1064.8391491326461</v>
      </c>
      <c r="G10" s="12">
        <v>4</v>
      </c>
      <c r="H10" s="12">
        <f t="shared" si="2"/>
        <v>1068.8391491326461</v>
      </c>
      <c r="I10" s="12">
        <v>6</v>
      </c>
      <c r="J10" s="55">
        <v>128.01</v>
      </c>
    </row>
    <row r="11" spans="1:10">
      <c r="A11" s="10" t="s">
        <v>15</v>
      </c>
      <c r="B11" s="12">
        <f t="shared" si="3"/>
        <v>6</v>
      </c>
      <c r="C11" s="12">
        <v>251.64788506738839</v>
      </c>
      <c r="D11" s="12">
        <v>1012.6530114211981</v>
      </c>
      <c r="E11" s="12">
        <f t="shared" si="0"/>
        <v>1270.3008964885867</v>
      </c>
      <c r="F11" s="12">
        <f t="shared" si="1"/>
        <v>1262.3008964885867</v>
      </c>
      <c r="G11" s="12">
        <v>2</v>
      </c>
      <c r="H11" s="12">
        <f t="shared" si="2"/>
        <v>1264.3008964885867</v>
      </c>
      <c r="I11" s="12">
        <v>6</v>
      </c>
      <c r="J11" s="55">
        <v>177.22</v>
      </c>
    </row>
    <row r="12" spans="1:10">
      <c r="A12" s="10" t="s">
        <v>16</v>
      </c>
      <c r="B12" s="12">
        <f t="shared" si="3"/>
        <v>6</v>
      </c>
      <c r="C12" s="12">
        <v>285.10726968724788</v>
      </c>
      <c r="D12" s="12">
        <v>954.43172332722895</v>
      </c>
      <c r="E12" s="12">
        <f t="shared" si="0"/>
        <v>1245.5389930144768</v>
      </c>
      <c r="F12" s="12">
        <f t="shared" si="1"/>
        <v>1229.5389930144768</v>
      </c>
      <c r="G12" s="12">
        <v>10</v>
      </c>
      <c r="H12" s="12">
        <f t="shared" si="2"/>
        <v>1239.5389930144768</v>
      </c>
      <c r="I12" s="12">
        <v>6</v>
      </c>
      <c r="J12" s="55">
        <v>192.02</v>
      </c>
    </row>
    <row r="13" spans="1:10">
      <c r="A13" s="10" t="s">
        <v>17</v>
      </c>
      <c r="B13" s="12">
        <f t="shared" si="3"/>
        <v>6</v>
      </c>
      <c r="C13" s="12">
        <v>392.18618390408676</v>
      </c>
      <c r="D13" s="12">
        <v>1372</v>
      </c>
      <c r="E13" s="12">
        <f t="shared" si="0"/>
        <v>1770.1861839040866</v>
      </c>
      <c r="F13" s="12">
        <f t="shared" si="1"/>
        <v>1746.1861839040866</v>
      </c>
      <c r="G13" s="12">
        <v>18</v>
      </c>
      <c r="H13" s="12">
        <f t="shared" si="2"/>
        <v>1764.1861839040866</v>
      </c>
      <c r="I13" s="12">
        <v>6</v>
      </c>
      <c r="J13" s="55">
        <v>131.15</v>
      </c>
    </row>
    <row r="14" spans="1:10">
      <c r="A14" s="10" t="s">
        <v>18</v>
      </c>
      <c r="B14" s="12">
        <f t="shared" si="3"/>
        <v>6</v>
      </c>
      <c r="C14" s="12">
        <v>450.12038629817573</v>
      </c>
      <c r="D14" s="12">
        <v>1194</v>
      </c>
      <c r="E14" s="12">
        <f t="shared" si="0"/>
        <v>1650.1203862981756</v>
      </c>
      <c r="F14" s="12">
        <f t="shared" si="1"/>
        <v>1637.1203862981756</v>
      </c>
      <c r="G14" s="12">
        <v>7</v>
      </c>
      <c r="H14" s="12">
        <f t="shared" si="2"/>
        <v>1644.1203862981756</v>
      </c>
      <c r="I14" s="12">
        <v>6</v>
      </c>
      <c r="J14" s="55">
        <v>112.28</v>
      </c>
    </row>
    <row r="15" spans="1:10">
      <c r="A15" s="10" t="s">
        <v>19</v>
      </c>
      <c r="B15" s="52">
        <f t="shared" ref="B15:B20" si="4">+I14</f>
        <v>6</v>
      </c>
      <c r="C15" s="52">
        <v>504.30103871683468</v>
      </c>
      <c r="D15" s="52">
        <v>1260</v>
      </c>
      <c r="E15" s="52">
        <f t="shared" ref="E15:E20" si="5">SUM(B15:D15)</f>
        <v>1770.3010387168347</v>
      </c>
      <c r="F15" s="52">
        <f t="shared" ref="F15:F20" si="6">+H15-G15</f>
        <v>1752.3010387168347</v>
      </c>
      <c r="G15" s="52">
        <v>12</v>
      </c>
      <c r="H15" s="52">
        <f t="shared" si="2"/>
        <v>1764.3010387168347</v>
      </c>
      <c r="I15" s="52">
        <v>6</v>
      </c>
      <c r="J15" s="55">
        <v>117.07</v>
      </c>
    </row>
    <row r="16" spans="1:10">
      <c r="A16" s="62" t="s">
        <v>337</v>
      </c>
      <c r="B16" s="52">
        <f t="shared" si="4"/>
        <v>6</v>
      </c>
      <c r="C16" s="52">
        <v>543.83510300756132</v>
      </c>
      <c r="D16" s="52">
        <v>1178.2602279000002</v>
      </c>
      <c r="E16" s="52">
        <f t="shared" si="5"/>
        <v>1728.0953309075617</v>
      </c>
      <c r="F16" s="52">
        <f t="shared" si="6"/>
        <v>1711.0953309075617</v>
      </c>
      <c r="G16" s="52">
        <v>11</v>
      </c>
      <c r="H16" s="52">
        <f t="shared" si="2"/>
        <v>1722.0953309075617</v>
      </c>
      <c r="I16" s="52">
        <v>6</v>
      </c>
      <c r="J16" s="55">
        <v>139.19999999999999</v>
      </c>
    </row>
    <row r="17" spans="1:10">
      <c r="A17" s="62" t="s">
        <v>341</v>
      </c>
      <c r="B17" s="52">
        <f t="shared" si="4"/>
        <v>6</v>
      </c>
      <c r="C17" s="52">
        <v>449.6311039469694</v>
      </c>
      <c r="D17" s="52">
        <v>921.31153380000001</v>
      </c>
      <c r="E17" s="52">
        <f t="shared" si="5"/>
        <v>1376.9426377469695</v>
      </c>
      <c r="F17" s="52">
        <f t="shared" si="6"/>
        <v>1362.9426377469695</v>
      </c>
      <c r="G17" s="52">
        <v>8</v>
      </c>
      <c r="H17" s="52">
        <f t="shared" si="2"/>
        <v>1370.9426377469695</v>
      </c>
      <c r="I17" s="52">
        <v>6</v>
      </c>
      <c r="J17" s="55">
        <v>143.33000000000001</v>
      </c>
    </row>
    <row r="18" spans="1:10">
      <c r="A18" s="62" t="s">
        <v>353</v>
      </c>
      <c r="B18" s="52">
        <f t="shared" si="4"/>
        <v>6</v>
      </c>
      <c r="C18" s="52">
        <v>386.96994350287861</v>
      </c>
      <c r="D18" s="52">
        <v>1012.9135779000001</v>
      </c>
      <c r="E18" s="52">
        <f t="shared" si="5"/>
        <v>1405.8835214028786</v>
      </c>
      <c r="F18" s="52">
        <f t="shared" si="6"/>
        <v>1366.0435214028787</v>
      </c>
      <c r="G18" s="52">
        <v>33.840000000000003</v>
      </c>
      <c r="H18" s="52">
        <f t="shared" si="2"/>
        <v>1399.8835214028786</v>
      </c>
      <c r="I18" s="52">
        <v>6</v>
      </c>
      <c r="J18" s="55">
        <v>144.13</v>
      </c>
    </row>
    <row r="19" spans="1:10">
      <c r="A19" s="62" t="s">
        <v>364</v>
      </c>
      <c r="B19" s="52">
        <f t="shared" si="4"/>
        <v>6</v>
      </c>
      <c r="C19" s="52">
        <v>467.23885481606919</v>
      </c>
      <c r="D19" s="52">
        <v>1637.7034527000001</v>
      </c>
      <c r="E19" s="52">
        <f t="shared" si="5"/>
        <v>2110.9423075160694</v>
      </c>
      <c r="F19" s="52">
        <f t="shared" si="6"/>
        <v>2065.5898048160693</v>
      </c>
      <c r="G19" s="52">
        <v>39.352502700000002</v>
      </c>
      <c r="H19" s="52">
        <f t="shared" si="2"/>
        <v>2104.9423075160694</v>
      </c>
      <c r="I19" s="52">
        <v>6</v>
      </c>
      <c r="J19" s="55">
        <v>188.45</v>
      </c>
    </row>
    <row r="20" spans="1:10">
      <c r="A20" s="62" t="s">
        <v>366</v>
      </c>
      <c r="B20" s="52">
        <f t="shared" si="4"/>
        <v>6</v>
      </c>
      <c r="C20" s="52">
        <v>604.94714877737988</v>
      </c>
      <c r="D20" s="52">
        <v>1470.9237984000001</v>
      </c>
      <c r="E20" s="52">
        <f t="shared" si="5"/>
        <v>2081.87094717738</v>
      </c>
      <c r="F20" s="52">
        <f t="shared" si="6"/>
        <v>2041.6993061773801</v>
      </c>
      <c r="G20" s="52">
        <v>34.171641000000001</v>
      </c>
      <c r="H20" s="52">
        <f t="shared" si="2"/>
        <v>2075.87094717738</v>
      </c>
      <c r="I20" s="52">
        <v>6</v>
      </c>
      <c r="J20" s="55">
        <v>139.75</v>
      </c>
    </row>
    <row r="21" spans="1:10">
      <c r="A21" s="62" t="s">
        <v>385</v>
      </c>
      <c r="B21" s="52">
        <f t="shared" ref="B21:B26" si="7">+I20</f>
        <v>6</v>
      </c>
      <c r="C21" s="52">
        <v>629.324814358357</v>
      </c>
      <c r="D21" s="52">
        <v>1610.6968332000001</v>
      </c>
      <c r="E21" s="52">
        <f t="shared" ref="E21:E26" si="8">SUM(B21:D21)</f>
        <v>2246.021647558357</v>
      </c>
      <c r="F21" s="52">
        <f t="shared" ref="F21:F26" si="9">+H21-G21</f>
        <v>2185.9643161183571</v>
      </c>
      <c r="G21" s="52">
        <v>54.057331439999999</v>
      </c>
      <c r="H21" s="52">
        <f t="shared" si="2"/>
        <v>2240.021647558357</v>
      </c>
      <c r="I21" s="52">
        <v>6</v>
      </c>
      <c r="J21" s="55">
        <v>140.52000000000001</v>
      </c>
    </row>
    <row r="22" spans="1:10">
      <c r="A22" s="62" t="s">
        <v>400</v>
      </c>
      <c r="B22" s="52">
        <f t="shared" si="7"/>
        <v>6</v>
      </c>
      <c r="C22" s="52">
        <v>610.60179438910779</v>
      </c>
      <c r="D22" s="52">
        <v>1650.6004914000002</v>
      </c>
      <c r="E22" s="52">
        <f t="shared" si="8"/>
        <v>2267.2022857891079</v>
      </c>
      <c r="F22" s="52">
        <f t="shared" si="9"/>
        <v>2195.1522857891077</v>
      </c>
      <c r="G22" s="52">
        <v>66.05</v>
      </c>
      <c r="H22" s="52">
        <f t="shared" si="2"/>
        <v>2261.2022857891079</v>
      </c>
      <c r="I22" s="52">
        <v>6</v>
      </c>
      <c r="J22" s="55">
        <v>173.5</v>
      </c>
    </row>
    <row r="23" spans="1:10">
      <c r="A23" s="62" t="s">
        <v>413</v>
      </c>
      <c r="B23" s="52">
        <f t="shared" si="7"/>
        <v>6</v>
      </c>
      <c r="C23" s="52">
        <v>692.27360396579479</v>
      </c>
      <c r="D23" s="52">
        <v>1999.4819229000002</v>
      </c>
      <c r="E23" s="52">
        <f t="shared" si="8"/>
        <v>2697.7555268657952</v>
      </c>
      <c r="F23" s="52">
        <f t="shared" si="9"/>
        <v>2583.0255268657952</v>
      </c>
      <c r="G23" s="52">
        <v>108.73</v>
      </c>
      <c r="H23" s="52">
        <f t="shared" si="2"/>
        <v>2691.7555268657952</v>
      </c>
      <c r="I23" s="52">
        <v>6</v>
      </c>
      <c r="J23" s="55">
        <v>251.33</v>
      </c>
    </row>
    <row r="24" spans="1:10">
      <c r="A24" s="62" t="s">
        <v>411</v>
      </c>
      <c r="B24" s="52">
        <f t="shared" si="7"/>
        <v>6</v>
      </c>
      <c r="C24" s="52">
        <v>731</v>
      </c>
      <c r="D24" s="52">
        <v>1867.29</v>
      </c>
      <c r="E24" s="52">
        <f t="shared" si="8"/>
        <v>2604.29</v>
      </c>
      <c r="F24" s="52">
        <f t="shared" si="9"/>
        <v>2523.4229999999998</v>
      </c>
      <c r="G24" s="52">
        <v>74.867000000000004</v>
      </c>
      <c r="H24" s="52">
        <f t="shared" si="2"/>
        <v>2598.29</v>
      </c>
      <c r="I24" s="52">
        <v>6</v>
      </c>
      <c r="J24" s="55">
        <v>248.82</v>
      </c>
    </row>
    <row r="25" spans="1:10">
      <c r="A25" s="115" t="s">
        <v>417</v>
      </c>
      <c r="B25" s="52">
        <f t="shared" si="7"/>
        <v>6</v>
      </c>
      <c r="C25" s="52">
        <v>736</v>
      </c>
      <c r="D25" s="52">
        <v>1277.8199466008132</v>
      </c>
      <c r="E25" s="52">
        <f t="shared" si="8"/>
        <v>2019.8199466008132</v>
      </c>
      <c r="F25" s="52">
        <f t="shared" si="9"/>
        <v>1983.9319466008133</v>
      </c>
      <c r="G25" s="52">
        <v>29.888000000000002</v>
      </c>
      <c r="H25" s="52">
        <f t="shared" si="2"/>
        <v>2013.8199466008132</v>
      </c>
      <c r="I25" s="52">
        <v>6</v>
      </c>
      <c r="J25" s="55">
        <v>224.92</v>
      </c>
    </row>
    <row r="26" spans="1:10">
      <c r="A26" s="115" t="s">
        <v>420</v>
      </c>
      <c r="B26" s="52">
        <f t="shared" si="7"/>
        <v>6</v>
      </c>
      <c r="C26" s="52">
        <v>788</v>
      </c>
      <c r="D26" s="52">
        <v>2251.8323443004756</v>
      </c>
      <c r="E26" s="52">
        <f t="shared" si="8"/>
        <v>3045.8323443004756</v>
      </c>
      <c r="F26" s="52">
        <f t="shared" si="9"/>
        <v>2967.9240716815098</v>
      </c>
      <c r="G26" s="52">
        <v>71.908272618965995</v>
      </c>
      <c r="H26" s="52">
        <f t="shared" si="2"/>
        <v>3039.8323443004756</v>
      </c>
      <c r="I26" s="52">
        <v>6</v>
      </c>
      <c r="J26" s="55">
        <v>263.63</v>
      </c>
    </row>
    <row r="27" spans="1:10">
      <c r="A27" s="115" t="s">
        <v>449</v>
      </c>
      <c r="B27" s="52">
        <f t="shared" ref="B27:B32" si="10">+I26</f>
        <v>6</v>
      </c>
      <c r="C27" s="52">
        <v>753</v>
      </c>
      <c r="D27" s="52">
        <v>3077.5660583688714</v>
      </c>
      <c r="E27" s="52">
        <f t="shared" ref="E27:E32" si="11">SUM(B27:D27)</f>
        <v>3836.5660583688714</v>
      </c>
      <c r="F27" s="52">
        <f t="shared" ref="F27:F32" si="12">+H27-G27</f>
        <v>3752.9656435480192</v>
      </c>
      <c r="G27" s="52">
        <v>77.600414820851995</v>
      </c>
      <c r="H27" s="52">
        <f t="shared" si="2"/>
        <v>3830.5660583688714</v>
      </c>
      <c r="I27" s="52">
        <v>6</v>
      </c>
      <c r="J27" s="55">
        <v>307.58999999999997</v>
      </c>
    </row>
    <row r="28" spans="1:10">
      <c r="A28" s="115" t="s">
        <v>438</v>
      </c>
      <c r="B28" s="52">
        <f t="shared" si="10"/>
        <v>6</v>
      </c>
      <c r="C28" s="52">
        <v>889</v>
      </c>
      <c r="D28" s="52">
        <v>3442.72255</v>
      </c>
      <c r="E28" s="52">
        <f t="shared" si="11"/>
        <v>4337.7225500000004</v>
      </c>
      <c r="F28" s="52">
        <f t="shared" si="12"/>
        <v>4259.5063589286056</v>
      </c>
      <c r="G28" s="52">
        <v>72.216191071395002</v>
      </c>
      <c r="H28" s="52">
        <f t="shared" si="2"/>
        <v>4331.7225500000004</v>
      </c>
      <c r="I28" s="52">
        <v>6</v>
      </c>
      <c r="J28" s="55">
        <v>354.22</v>
      </c>
    </row>
    <row r="29" spans="1:10">
      <c r="A29" s="115" t="s">
        <v>494</v>
      </c>
      <c r="B29" s="52">
        <f t="shared" si="10"/>
        <v>6</v>
      </c>
      <c r="C29" s="52">
        <v>1069</v>
      </c>
      <c r="D29" s="52">
        <v>3730.9090000000001</v>
      </c>
      <c r="E29" s="52">
        <f t="shared" si="11"/>
        <v>4805.9089999999997</v>
      </c>
      <c r="F29" s="52">
        <f t="shared" si="12"/>
        <v>4750.2506147706381</v>
      </c>
      <c r="G29" s="52">
        <v>49.658385229362004</v>
      </c>
      <c r="H29" s="52">
        <f t="shared" si="2"/>
        <v>4799.9089999999997</v>
      </c>
      <c r="I29" s="52">
        <v>6</v>
      </c>
      <c r="J29" s="55">
        <v>359.7</v>
      </c>
    </row>
    <row r="30" spans="1:10">
      <c r="A30" s="115" t="s">
        <v>492</v>
      </c>
      <c r="B30" s="52">
        <f t="shared" si="10"/>
        <v>6</v>
      </c>
      <c r="C30" s="92">
        <v>1071</v>
      </c>
      <c r="D30" s="92">
        <v>3857.7159999999999</v>
      </c>
      <c r="E30" s="52">
        <f t="shared" si="11"/>
        <v>4934.7160000000003</v>
      </c>
      <c r="F30" s="52">
        <f t="shared" si="12"/>
        <v>4890.8440000000001</v>
      </c>
      <c r="G30" s="92">
        <v>37.872</v>
      </c>
      <c r="H30" s="52">
        <f t="shared" si="2"/>
        <v>4928.7160000000003</v>
      </c>
      <c r="I30" s="92">
        <v>6</v>
      </c>
      <c r="J30" s="223">
        <v>301.2</v>
      </c>
    </row>
    <row r="31" spans="1:10">
      <c r="A31" s="115" t="s">
        <v>495</v>
      </c>
      <c r="B31" s="52">
        <f t="shared" si="10"/>
        <v>6</v>
      </c>
      <c r="C31" s="92">
        <v>1066.692</v>
      </c>
      <c r="D31" s="92">
        <v>4004.279897125663</v>
      </c>
      <c r="E31" s="52">
        <f t="shared" si="11"/>
        <v>5076.9718971256625</v>
      </c>
      <c r="F31" s="52">
        <f t="shared" si="12"/>
        <v>4974.7187344344875</v>
      </c>
      <c r="G31" s="92">
        <v>96.253162691174992</v>
      </c>
      <c r="H31" s="52">
        <f t="shared" si="2"/>
        <v>5070.9718971256625</v>
      </c>
      <c r="I31" s="92">
        <v>6</v>
      </c>
      <c r="J31" s="223">
        <v>262.2</v>
      </c>
    </row>
    <row r="32" spans="1:10">
      <c r="A32" s="115" t="s">
        <v>498</v>
      </c>
      <c r="B32" s="52">
        <f t="shared" si="10"/>
        <v>6</v>
      </c>
      <c r="C32" s="92">
        <v>1181.261</v>
      </c>
      <c r="D32" s="92">
        <v>3892.7899348151313</v>
      </c>
      <c r="E32" s="52">
        <f t="shared" si="11"/>
        <v>5080.0509348151318</v>
      </c>
      <c r="F32" s="52">
        <f t="shared" si="12"/>
        <v>5010.5292140400597</v>
      </c>
      <c r="G32" s="92">
        <v>63.521720775071998</v>
      </c>
      <c r="H32" s="52">
        <f t="shared" si="2"/>
        <v>5074.0509348151318</v>
      </c>
      <c r="I32" s="92">
        <v>6</v>
      </c>
      <c r="J32" s="223">
        <v>267.94</v>
      </c>
    </row>
    <row r="33" spans="1:10">
      <c r="A33" s="129" t="s">
        <v>636</v>
      </c>
      <c r="B33" s="52">
        <f>+I32</f>
        <v>6</v>
      </c>
      <c r="C33" s="92">
        <v>1080.0900000000001</v>
      </c>
      <c r="D33" s="92">
        <v>3566.1246522719584</v>
      </c>
      <c r="E33" s="52">
        <f>SUM(B33:D33)</f>
        <v>4652.2146522719586</v>
      </c>
      <c r="F33" s="52">
        <f>+H33-G33</f>
        <v>4615.5269236099412</v>
      </c>
      <c r="G33" s="92">
        <v>30.687728662017001</v>
      </c>
      <c r="H33" s="52">
        <f t="shared" si="2"/>
        <v>4646.2146522719586</v>
      </c>
      <c r="I33" s="92">
        <v>6</v>
      </c>
      <c r="J33" s="336">
        <v>291.14999999999998</v>
      </c>
    </row>
    <row r="34" spans="1:10">
      <c r="A34" s="136" t="s">
        <v>635</v>
      </c>
      <c r="B34" s="13">
        <f>I33</f>
        <v>6</v>
      </c>
      <c r="C34" s="240">
        <v>1197</v>
      </c>
      <c r="D34" s="240">
        <v>3748</v>
      </c>
      <c r="E34" s="13">
        <f>SUM(B34:D34)</f>
        <v>4951</v>
      </c>
      <c r="F34" s="13">
        <f>+H34-G34</f>
        <v>4842</v>
      </c>
      <c r="G34" s="240">
        <v>103</v>
      </c>
      <c r="H34" s="13">
        <f t="shared" si="2"/>
        <v>4945</v>
      </c>
      <c r="I34" s="240">
        <v>6</v>
      </c>
      <c r="J34" s="318" t="s">
        <v>669</v>
      </c>
    </row>
    <row r="35" spans="1:10" s="6" customFormat="1" ht="13.2" customHeight="1">
      <c r="A35" s="107" t="s">
        <v>381</v>
      </c>
    </row>
    <row r="36" spans="1:10" s="6" customFormat="1" ht="13.2" customHeight="1">
      <c r="A36" s="107" t="s">
        <v>566</v>
      </c>
    </row>
    <row r="37" spans="1:10">
      <c r="A37" t="s">
        <v>565</v>
      </c>
    </row>
    <row r="38" spans="1:10">
      <c r="A38" t="s">
        <v>521</v>
      </c>
      <c r="I38" s="270"/>
      <c r="J38" s="270" t="s">
        <v>679</v>
      </c>
    </row>
    <row r="40" spans="1:10">
      <c r="F40" s="12"/>
    </row>
  </sheetData>
  <phoneticPr fontId="0" type="noConversion"/>
  <pageMargins left="0.7" right="0.7" top="0.75" bottom="0.75" header="0.3" footer="0.3"/>
  <pageSetup scale="87" firstPageNumber="54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F46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5.28515625" customWidth="1"/>
    <col min="2" max="6" width="20.7109375" customWidth="1"/>
  </cols>
  <sheetData>
    <row r="1" spans="1:6">
      <c r="A1" s="114" t="s">
        <v>644</v>
      </c>
      <c r="B1" s="1"/>
      <c r="C1" s="1"/>
      <c r="D1" s="1"/>
      <c r="E1" s="1"/>
      <c r="F1" s="1"/>
    </row>
    <row r="2" spans="1:6">
      <c r="A2" s="1" t="s">
        <v>20</v>
      </c>
      <c r="B2" s="283" t="s">
        <v>62</v>
      </c>
      <c r="C2" s="283" t="s">
        <v>63</v>
      </c>
      <c r="D2" s="283" t="s">
        <v>94</v>
      </c>
      <c r="E2" s="283" t="s">
        <v>66</v>
      </c>
      <c r="F2" s="283" t="s">
        <v>67</v>
      </c>
    </row>
    <row r="3" spans="1:6">
      <c r="B3" s="324" t="s">
        <v>161</v>
      </c>
      <c r="C3" s="35"/>
      <c r="D3" s="7" t="s">
        <v>70</v>
      </c>
      <c r="E3" s="7" t="s">
        <v>4</v>
      </c>
      <c r="F3" s="8">
        <v>1000</v>
      </c>
    </row>
    <row r="4" spans="1:6">
      <c r="B4" s="35"/>
      <c r="C4" s="35"/>
      <c r="D4" s="7"/>
      <c r="E4" s="7"/>
      <c r="F4" s="8"/>
    </row>
    <row r="5" spans="1:6">
      <c r="A5" s="10">
        <v>1980</v>
      </c>
      <c r="B5" s="19">
        <v>759</v>
      </c>
      <c r="C5" s="19">
        <v>663</v>
      </c>
      <c r="D5" s="32">
        <v>11.7</v>
      </c>
      <c r="E5" s="19">
        <v>7728</v>
      </c>
      <c r="F5" s="19">
        <v>55615</v>
      </c>
    </row>
    <row r="6" spans="1:6">
      <c r="A6" s="10">
        <v>1981</v>
      </c>
      <c r="B6" s="19">
        <v>605</v>
      </c>
      <c r="C6" s="19">
        <v>577</v>
      </c>
      <c r="D6" s="32">
        <v>12.6</v>
      </c>
      <c r="E6" s="19">
        <v>7289</v>
      </c>
      <c r="F6" s="19">
        <v>48615</v>
      </c>
    </row>
    <row r="7" spans="1:6">
      <c r="A7" s="10">
        <v>1982</v>
      </c>
      <c r="B7" s="19">
        <v>780</v>
      </c>
      <c r="C7" s="19">
        <v>735</v>
      </c>
      <c r="D7" s="32">
        <v>14</v>
      </c>
      <c r="E7" s="19">
        <v>10278</v>
      </c>
      <c r="F7" s="19">
        <v>53139</v>
      </c>
    </row>
    <row r="8" spans="1:6">
      <c r="A8" s="10">
        <v>1983</v>
      </c>
      <c r="B8" s="19">
        <v>605</v>
      </c>
      <c r="C8" s="19">
        <v>580</v>
      </c>
      <c r="D8" s="32">
        <v>11.9</v>
      </c>
      <c r="E8" s="19">
        <v>6903</v>
      </c>
      <c r="F8" s="19">
        <v>46925</v>
      </c>
    </row>
    <row r="9" spans="1:6">
      <c r="A9" s="10">
        <v>1984</v>
      </c>
      <c r="B9" s="19">
        <v>555</v>
      </c>
      <c r="C9" s="19">
        <v>538</v>
      </c>
      <c r="D9" s="32">
        <v>13.1</v>
      </c>
      <c r="E9" s="19">
        <v>7022</v>
      </c>
      <c r="F9" s="19">
        <v>42739</v>
      </c>
    </row>
    <row r="10" spans="1:6">
      <c r="A10" s="10">
        <v>1985</v>
      </c>
      <c r="B10" s="19">
        <v>620</v>
      </c>
      <c r="C10" s="19">
        <v>584</v>
      </c>
      <c r="D10" s="32">
        <v>14.2</v>
      </c>
      <c r="E10" s="19">
        <v>8293</v>
      </c>
      <c r="F10" s="19">
        <v>41912</v>
      </c>
    </row>
    <row r="11" spans="1:6">
      <c r="A11" s="10">
        <v>1986</v>
      </c>
      <c r="B11" s="19">
        <v>720</v>
      </c>
      <c r="C11" s="19">
        <v>683</v>
      </c>
      <c r="D11" s="32">
        <v>16.899999999999999</v>
      </c>
      <c r="E11" s="19">
        <v>11538</v>
      </c>
      <c r="F11" s="19">
        <v>39962</v>
      </c>
    </row>
    <row r="12" spans="1:6">
      <c r="A12" s="10">
        <v>1987</v>
      </c>
      <c r="B12" s="19">
        <v>470</v>
      </c>
      <c r="C12" s="19">
        <v>463</v>
      </c>
      <c r="D12" s="32">
        <v>16.100000000000001</v>
      </c>
      <c r="E12" s="19">
        <v>7444</v>
      </c>
      <c r="F12" s="19">
        <v>25188</v>
      </c>
    </row>
    <row r="13" spans="1:6">
      <c r="A13" s="10">
        <v>1988</v>
      </c>
      <c r="B13" s="19">
        <v>275</v>
      </c>
      <c r="C13" s="19">
        <v>226</v>
      </c>
      <c r="D13" s="32">
        <v>7.1</v>
      </c>
      <c r="E13" s="19">
        <v>1615</v>
      </c>
      <c r="F13" s="19">
        <v>12200</v>
      </c>
    </row>
    <row r="14" spans="1:6">
      <c r="A14" s="10">
        <v>1989</v>
      </c>
      <c r="B14" s="19">
        <v>195</v>
      </c>
      <c r="C14" s="19">
        <v>163</v>
      </c>
      <c r="D14" s="32">
        <v>7.5</v>
      </c>
      <c r="E14" s="19">
        <v>1215</v>
      </c>
      <c r="F14" s="19">
        <v>8724</v>
      </c>
    </row>
    <row r="15" spans="1:6">
      <c r="A15" s="10">
        <v>1990</v>
      </c>
      <c r="B15" s="19">
        <v>260</v>
      </c>
      <c r="C15" s="19">
        <v>253</v>
      </c>
      <c r="D15" s="32">
        <v>15.1</v>
      </c>
      <c r="E15" s="19">
        <v>3812</v>
      </c>
      <c r="F15" s="19">
        <v>21108</v>
      </c>
    </row>
    <row r="16" spans="1:6">
      <c r="A16" s="10">
        <v>1991</v>
      </c>
      <c r="B16" s="19">
        <v>356</v>
      </c>
      <c r="C16" s="19">
        <v>342</v>
      </c>
      <c r="D16" s="32">
        <v>18.100000000000001</v>
      </c>
      <c r="E16" s="19">
        <v>6200</v>
      </c>
      <c r="F16" s="19">
        <v>21845</v>
      </c>
    </row>
    <row r="17" spans="1:6">
      <c r="A17" s="10">
        <v>1992</v>
      </c>
      <c r="B17" s="19">
        <v>171</v>
      </c>
      <c r="C17" s="19">
        <v>165</v>
      </c>
      <c r="D17" s="32">
        <v>19.899999999999999</v>
      </c>
      <c r="E17" s="19">
        <v>3288</v>
      </c>
      <c r="F17" s="19">
        <v>13543</v>
      </c>
    </row>
    <row r="18" spans="1:6">
      <c r="A18" s="10">
        <v>1993</v>
      </c>
      <c r="B18" s="19">
        <v>206</v>
      </c>
      <c r="C18" s="19">
        <v>191</v>
      </c>
      <c r="D18" s="32">
        <v>18.2</v>
      </c>
      <c r="E18" s="19">
        <v>3482</v>
      </c>
      <c r="F18" s="19">
        <v>14857</v>
      </c>
    </row>
    <row r="19" spans="1:6">
      <c r="A19" s="10">
        <v>1994</v>
      </c>
      <c r="B19" s="19">
        <v>178</v>
      </c>
      <c r="C19" s="19">
        <v>171</v>
      </c>
      <c r="D19" s="32">
        <v>17.100000000000001</v>
      </c>
      <c r="E19" s="19">
        <v>2922</v>
      </c>
      <c r="F19" s="19">
        <v>13590</v>
      </c>
    </row>
    <row r="20" spans="1:6">
      <c r="A20" s="10">
        <v>1995</v>
      </c>
      <c r="B20" s="19">
        <v>165</v>
      </c>
      <c r="C20" s="19">
        <v>147</v>
      </c>
      <c r="D20" s="32">
        <v>15</v>
      </c>
      <c r="E20" s="19">
        <v>2212</v>
      </c>
      <c r="F20" s="19">
        <v>11481</v>
      </c>
    </row>
    <row r="21" spans="1:6">
      <c r="A21" s="10">
        <v>1996</v>
      </c>
      <c r="B21" s="19">
        <v>96</v>
      </c>
      <c r="C21" s="19">
        <v>92</v>
      </c>
      <c r="D21" s="32">
        <v>17.399999999999999</v>
      </c>
      <c r="E21" s="19">
        <v>1602</v>
      </c>
      <c r="F21" s="19">
        <v>10197</v>
      </c>
    </row>
    <row r="22" spans="1:6">
      <c r="A22" s="10">
        <v>1997</v>
      </c>
      <c r="B22" s="19">
        <v>151</v>
      </c>
      <c r="C22" s="19">
        <v>146</v>
      </c>
      <c r="D22" s="32">
        <v>16.600000000000001</v>
      </c>
      <c r="E22" s="19">
        <v>2420</v>
      </c>
      <c r="F22" s="19">
        <v>14046</v>
      </c>
    </row>
    <row r="23" spans="1:6">
      <c r="A23" s="10">
        <v>1998</v>
      </c>
      <c r="B23" s="19">
        <v>336</v>
      </c>
      <c r="C23" s="19">
        <v>329</v>
      </c>
      <c r="D23" s="32">
        <v>20.399999999999999</v>
      </c>
      <c r="E23" s="19">
        <v>6708</v>
      </c>
      <c r="F23" s="19">
        <v>33809</v>
      </c>
    </row>
    <row r="24" spans="1:6">
      <c r="A24" s="10">
        <v>1999</v>
      </c>
      <c r="B24" s="19">
        <v>387</v>
      </c>
      <c r="C24" s="19">
        <v>382</v>
      </c>
      <c r="D24" s="32">
        <v>20.6</v>
      </c>
      <c r="E24" s="19">
        <v>7864</v>
      </c>
      <c r="F24" s="19">
        <v>30098</v>
      </c>
    </row>
    <row r="25" spans="1:6">
      <c r="A25" s="10">
        <v>2000</v>
      </c>
      <c r="B25" s="66">
        <v>536</v>
      </c>
      <c r="C25" s="66">
        <v>517</v>
      </c>
      <c r="D25" s="72">
        <f t="shared" ref="D25:D30" si="0">+E25/C25</f>
        <v>20.754352030947775</v>
      </c>
      <c r="E25" s="66">
        <v>10730</v>
      </c>
      <c r="F25" s="66">
        <v>35569</v>
      </c>
    </row>
    <row r="26" spans="1:6">
      <c r="A26" s="62">
        <v>2001</v>
      </c>
      <c r="B26" s="66">
        <v>585</v>
      </c>
      <c r="C26" s="66">
        <v>578</v>
      </c>
      <c r="D26" s="72">
        <f t="shared" si="0"/>
        <v>19.818339100346019</v>
      </c>
      <c r="E26" s="66">
        <v>11455</v>
      </c>
      <c r="F26" s="66">
        <v>49004</v>
      </c>
    </row>
    <row r="27" spans="1:6">
      <c r="A27" s="62">
        <v>2002</v>
      </c>
      <c r="B27" s="66">
        <v>784</v>
      </c>
      <c r="C27" s="66">
        <v>703</v>
      </c>
      <c r="D27" s="72">
        <f t="shared" si="0"/>
        <v>16.874822190611663</v>
      </c>
      <c r="E27" s="66">
        <v>11863</v>
      </c>
      <c r="F27" s="66">
        <v>68564</v>
      </c>
    </row>
    <row r="28" spans="1:6">
      <c r="A28" s="62">
        <v>2003</v>
      </c>
      <c r="B28" s="66">
        <v>595</v>
      </c>
      <c r="C28" s="66">
        <v>588</v>
      </c>
      <c r="D28" s="72">
        <f t="shared" si="0"/>
        <v>17.8843537414966</v>
      </c>
      <c r="E28" s="66">
        <v>10516</v>
      </c>
      <c r="F28" s="66">
        <v>61900</v>
      </c>
    </row>
    <row r="29" spans="1:6">
      <c r="A29" s="62">
        <v>2004</v>
      </c>
      <c r="B29" s="66">
        <v>523</v>
      </c>
      <c r="C29" s="66">
        <v>511</v>
      </c>
      <c r="D29" s="72">
        <f t="shared" si="0"/>
        <v>20.289628180039138</v>
      </c>
      <c r="E29" s="66">
        <v>10368</v>
      </c>
      <c r="F29" s="66">
        <v>83767</v>
      </c>
    </row>
    <row r="30" spans="1:6">
      <c r="A30" s="62">
        <v>2005</v>
      </c>
      <c r="B30" s="66">
        <v>983</v>
      </c>
      <c r="C30" s="66">
        <v>955</v>
      </c>
      <c r="D30" s="72">
        <f t="shared" si="0"/>
        <v>20.623036649214658</v>
      </c>
      <c r="E30" s="66">
        <v>19695</v>
      </c>
      <c r="F30" s="66">
        <v>117070</v>
      </c>
    </row>
    <row r="31" spans="1:6">
      <c r="A31" s="62">
        <v>2006</v>
      </c>
      <c r="B31" s="66">
        <v>813</v>
      </c>
      <c r="C31" s="66">
        <v>767</v>
      </c>
      <c r="D31" s="72">
        <f t="shared" ref="D31:D36" si="1">+E31/C31</f>
        <v>14.366362451108214</v>
      </c>
      <c r="E31" s="66">
        <v>11019</v>
      </c>
      <c r="F31" s="66">
        <v>63961</v>
      </c>
    </row>
    <row r="32" spans="1:6">
      <c r="A32" s="62">
        <v>2007</v>
      </c>
      <c r="B32" s="66">
        <v>354</v>
      </c>
      <c r="C32" s="66">
        <v>349</v>
      </c>
      <c r="D32" s="72">
        <f t="shared" si="1"/>
        <v>16.893982808022923</v>
      </c>
      <c r="E32" s="66">
        <v>5896</v>
      </c>
      <c r="F32" s="66">
        <v>76521</v>
      </c>
    </row>
    <row r="33" spans="1:6">
      <c r="A33" s="62">
        <v>2008</v>
      </c>
      <c r="B33" s="66">
        <v>354</v>
      </c>
      <c r="C33" s="66">
        <v>340</v>
      </c>
      <c r="D33" s="72">
        <f t="shared" si="1"/>
        <v>16.811764705882354</v>
      </c>
      <c r="E33" s="66">
        <v>5716</v>
      </c>
      <c r="F33" s="66">
        <v>72773</v>
      </c>
    </row>
    <row r="34" spans="1:6">
      <c r="A34" s="62">
        <v>2009</v>
      </c>
      <c r="B34" s="66">
        <v>317</v>
      </c>
      <c r="C34" s="66">
        <v>314</v>
      </c>
      <c r="D34" s="72">
        <f t="shared" si="1"/>
        <v>23.640127388535031</v>
      </c>
      <c r="E34" s="66">
        <v>7423</v>
      </c>
      <c r="F34" s="66">
        <v>60373</v>
      </c>
    </row>
    <row r="35" spans="1:6">
      <c r="A35" s="62">
        <v>2010</v>
      </c>
      <c r="B35" s="66">
        <v>421</v>
      </c>
      <c r="C35" s="66">
        <v>418</v>
      </c>
      <c r="D35" s="72">
        <f t="shared" si="1"/>
        <v>21.665071770334929</v>
      </c>
      <c r="E35" s="66">
        <v>9056</v>
      </c>
      <c r="F35" s="66">
        <v>110251</v>
      </c>
    </row>
    <row r="36" spans="1:6">
      <c r="A36" s="62">
        <v>2011</v>
      </c>
      <c r="B36" s="66">
        <v>178</v>
      </c>
      <c r="C36" s="66">
        <v>173</v>
      </c>
      <c r="D36" s="72">
        <f t="shared" si="1"/>
        <v>16.132947976878611</v>
      </c>
      <c r="E36" s="66">
        <v>2791</v>
      </c>
      <c r="F36" s="66">
        <v>38570</v>
      </c>
    </row>
    <row r="37" spans="1:6">
      <c r="A37" s="62">
        <v>2012</v>
      </c>
      <c r="B37" s="66">
        <v>349</v>
      </c>
      <c r="C37" s="66">
        <v>336</v>
      </c>
      <c r="D37" s="72">
        <f t="shared" ref="D37:D43" si="2">+E37/C37</f>
        <v>17.25595238095238</v>
      </c>
      <c r="E37" s="66">
        <v>5798</v>
      </c>
      <c r="F37" s="66">
        <v>79919</v>
      </c>
    </row>
    <row r="38" spans="1:6">
      <c r="A38" s="62">
        <v>2013</v>
      </c>
      <c r="B38" s="66">
        <v>181</v>
      </c>
      <c r="C38" s="66">
        <v>172</v>
      </c>
      <c r="D38" s="72">
        <f t="shared" si="2"/>
        <v>19.511627906976745</v>
      </c>
      <c r="E38" s="66">
        <v>3356</v>
      </c>
      <c r="F38" s="66">
        <v>46325</v>
      </c>
    </row>
    <row r="39" spans="1:6">
      <c r="A39" s="62">
        <v>2014</v>
      </c>
      <c r="B39" s="66">
        <v>311</v>
      </c>
      <c r="C39" s="66">
        <v>302</v>
      </c>
      <c r="D39" s="72">
        <f t="shared" si="2"/>
        <v>21.086092715231789</v>
      </c>
      <c r="E39" s="66">
        <v>6368</v>
      </c>
      <c r="F39" s="213">
        <v>75077</v>
      </c>
    </row>
    <row r="40" spans="1:6">
      <c r="A40" s="62">
        <v>2015</v>
      </c>
      <c r="B40" s="66">
        <v>463</v>
      </c>
      <c r="C40" s="66">
        <v>456</v>
      </c>
      <c r="D40" s="72">
        <f t="shared" si="2"/>
        <v>22.138157894736842</v>
      </c>
      <c r="E40" s="66">
        <v>10095</v>
      </c>
      <c r="F40" s="213">
        <v>90561</v>
      </c>
    </row>
    <row r="41" spans="1:6">
      <c r="A41" s="62">
        <v>2016</v>
      </c>
      <c r="B41" s="66">
        <v>374</v>
      </c>
      <c r="C41" s="66">
        <v>366</v>
      </c>
      <c r="D41" s="72">
        <f t="shared" si="2"/>
        <v>23.650273224043715</v>
      </c>
      <c r="E41" s="66">
        <v>8656</v>
      </c>
      <c r="F41" s="213">
        <v>69352</v>
      </c>
    </row>
    <row r="42" spans="1:6">
      <c r="A42" s="115">
        <v>2017</v>
      </c>
      <c r="B42" s="213">
        <v>303</v>
      </c>
      <c r="C42" s="213">
        <v>272</v>
      </c>
      <c r="D42" s="72">
        <f t="shared" si="2"/>
        <v>14.125</v>
      </c>
      <c r="E42" s="213">
        <v>3842</v>
      </c>
      <c r="F42" s="213">
        <v>35393</v>
      </c>
    </row>
    <row r="43" spans="1:6">
      <c r="A43" s="118" t="s">
        <v>629</v>
      </c>
      <c r="B43" s="254">
        <v>208</v>
      </c>
      <c r="C43" s="254">
        <v>198</v>
      </c>
      <c r="D43" s="124">
        <f t="shared" si="2"/>
        <v>22.555555555555557</v>
      </c>
      <c r="E43" s="254">
        <v>4466</v>
      </c>
      <c r="F43" s="254">
        <v>43543.5</v>
      </c>
    </row>
    <row r="44" spans="1:6">
      <c r="A44" s="135" t="s">
        <v>384</v>
      </c>
    </row>
    <row r="45" spans="1:6">
      <c r="A45" s="107" t="s">
        <v>535</v>
      </c>
    </row>
    <row r="46" spans="1:6" ht="10.199999999999999" customHeight="1">
      <c r="F46" s="270" t="s">
        <v>679</v>
      </c>
    </row>
  </sheetData>
  <phoneticPr fontId="0" type="noConversion"/>
  <pageMargins left="0.7" right="0.7" top="0.75" bottom="0.75" header="0.3" footer="0.3"/>
  <pageSetup scale="36" firstPageNumber="55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L51"/>
  <sheetViews>
    <sheetView zoomScaleNormal="100" zoomScaleSheetLayoutView="100" workbookViewId="0">
      <selection activeCell="A105" sqref="A105"/>
    </sheetView>
  </sheetViews>
  <sheetFormatPr defaultRowHeight="10.199999999999999"/>
  <cols>
    <col min="1" max="10" width="10.7109375" customWidth="1"/>
    <col min="11" max="11" width="12.85546875" customWidth="1"/>
  </cols>
  <sheetData>
    <row r="1" spans="1:12">
      <c r="A1" s="136" t="s">
        <v>645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K2" s="299" t="s">
        <v>118</v>
      </c>
      <c r="L2" s="281"/>
    </row>
    <row r="3" spans="1:12">
      <c r="A3" t="s">
        <v>162</v>
      </c>
      <c r="B3" s="390"/>
      <c r="C3" s="296" t="s">
        <v>119</v>
      </c>
      <c r="D3" s="271"/>
      <c r="E3" s="271"/>
      <c r="F3" s="390"/>
      <c r="G3" s="271"/>
      <c r="H3" s="271" t="s">
        <v>117</v>
      </c>
      <c r="I3" s="271"/>
      <c r="J3" s="271"/>
      <c r="K3" s="7" t="s">
        <v>560</v>
      </c>
    </row>
    <row r="4" spans="1:12">
      <c r="A4" t="s">
        <v>100</v>
      </c>
      <c r="B4" s="399" t="s">
        <v>141</v>
      </c>
      <c r="C4" s="7"/>
      <c r="D4" s="7"/>
      <c r="E4" s="7"/>
      <c r="F4" s="364"/>
      <c r="G4" s="7"/>
      <c r="H4" s="7"/>
      <c r="I4" s="7"/>
      <c r="J4" s="7"/>
      <c r="K4" s="7" t="s">
        <v>114</v>
      </c>
      <c r="L4" s="7" t="s">
        <v>458</v>
      </c>
    </row>
    <row r="5" spans="1:12">
      <c r="A5" s="368" t="s">
        <v>163</v>
      </c>
      <c r="B5" s="400" t="s">
        <v>110</v>
      </c>
      <c r="C5" s="172" t="s">
        <v>66</v>
      </c>
      <c r="D5" s="173" t="s">
        <v>88</v>
      </c>
      <c r="E5" s="173" t="s">
        <v>3</v>
      </c>
      <c r="F5" s="371" t="s">
        <v>111</v>
      </c>
      <c r="G5" s="173" t="s">
        <v>90</v>
      </c>
      <c r="H5" s="174" t="s">
        <v>167</v>
      </c>
      <c r="I5" s="172" t="s">
        <v>165</v>
      </c>
      <c r="J5" s="7" t="s">
        <v>3</v>
      </c>
      <c r="K5" s="9" t="s">
        <v>168</v>
      </c>
      <c r="L5" s="9"/>
    </row>
    <row r="6" spans="1:12">
      <c r="C6" s="277"/>
      <c r="D6" s="277"/>
      <c r="E6" s="277"/>
      <c r="G6" s="301" t="s">
        <v>166</v>
      </c>
      <c r="H6" s="277"/>
      <c r="I6" s="277"/>
      <c r="J6" s="277"/>
      <c r="K6" s="7" t="s">
        <v>452</v>
      </c>
      <c r="L6" s="7" t="s">
        <v>452</v>
      </c>
    </row>
    <row r="7" spans="1:12">
      <c r="B7" s="35"/>
      <c r="C7" s="35"/>
      <c r="D7" s="35"/>
      <c r="E7" s="35"/>
      <c r="F7" s="35"/>
      <c r="G7" s="35"/>
      <c r="H7" s="35"/>
      <c r="I7" s="35"/>
      <c r="J7" s="35"/>
      <c r="K7" s="7"/>
      <c r="L7" s="7"/>
    </row>
    <row r="8" spans="1:12">
      <c r="A8" s="10" t="s">
        <v>273</v>
      </c>
      <c r="B8" s="17">
        <v>5018</v>
      </c>
      <c r="C8" s="67">
        <f>+'tab27'!E5</f>
        <v>7728</v>
      </c>
      <c r="D8" s="17">
        <v>2510</v>
      </c>
      <c r="E8" s="17">
        <f t="shared" ref="E8:E26" si="0">SUM(B8:D8)</f>
        <v>15256</v>
      </c>
      <c r="F8" s="17">
        <v>11927</v>
      </c>
      <c r="G8" s="17">
        <v>76</v>
      </c>
      <c r="H8" s="17">
        <v>547</v>
      </c>
      <c r="I8" s="67">
        <f t="shared" ref="I8:I31" si="1">+J8-F8-G8-H8</f>
        <v>-27</v>
      </c>
      <c r="J8" s="17">
        <f t="shared" ref="J8:J44" si="2">+E8-B9</f>
        <v>12523</v>
      </c>
      <c r="K8" s="33">
        <v>7.2</v>
      </c>
      <c r="L8" s="55">
        <v>4.5</v>
      </c>
    </row>
    <row r="9" spans="1:12">
      <c r="A9" s="10" t="s">
        <v>274</v>
      </c>
      <c r="B9" s="17">
        <v>2733</v>
      </c>
      <c r="C9" s="67">
        <f>+'tab27'!E6</f>
        <v>7289</v>
      </c>
      <c r="D9" s="17">
        <v>3502</v>
      </c>
      <c r="E9" s="17">
        <f t="shared" si="0"/>
        <v>13524</v>
      </c>
      <c r="F9" s="17">
        <v>11231</v>
      </c>
      <c r="G9" s="17">
        <v>11</v>
      </c>
      <c r="H9" s="17">
        <v>691</v>
      </c>
      <c r="I9" s="67">
        <f t="shared" si="1"/>
        <v>-359</v>
      </c>
      <c r="J9" s="17">
        <f t="shared" si="2"/>
        <v>11574</v>
      </c>
      <c r="K9" s="33">
        <v>6.67</v>
      </c>
      <c r="L9" s="91" t="s">
        <v>266</v>
      </c>
    </row>
    <row r="10" spans="1:12">
      <c r="A10" s="10" t="s">
        <v>275</v>
      </c>
      <c r="B10" s="17">
        <v>1950</v>
      </c>
      <c r="C10" s="67">
        <f>+'tab27'!E7</f>
        <v>10278</v>
      </c>
      <c r="D10" s="17">
        <v>1921</v>
      </c>
      <c r="E10" s="17">
        <f t="shared" si="0"/>
        <v>14149</v>
      </c>
      <c r="F10" s="17">
        <v>8722</v>
      </c>
      <c r="G10" s="17">
        <v>638</v>
      </c>
      <c r="H10" s="17">
        <v>486</v>
      </c>
      <c r="I10" s="67">
        <f t="shared" si="1"/>
        <v>1091</v>
      </c>
      <c r="J10" s="17">
        <f t="shared" si="2"/>
        <v>10937</v>
      </c>
      <c r="K10" s="33">
        <v>5.17</v>
      </c>
      <c r="L10" s="91" t="s">
        <v>266</v>
      </c>
    </row>
    <row r="11" spans="1:12">
      <c r="A11" s="10" t="s">
        <v>276</v>
      </c>
      <c r="B11" s="17">
        <v>3212</v>
      </c>
      <c r="C11" s="67">
        <f>+'tab27'!E8</f>
        <v>6903</v>
      </c>
      <c r="D11" s="17">
        <v>4756</v>
      </c>
      <c r="E11" s="17">
        <f t="shared" si="0"/>
        <v>14871</v>
      </c>
      <c r="F11" s="17">
        <v>12733</v>
      </c>
      <c r="G11" s="17">
        <v>52</v>
      </c>
      <c r="H11" s="17">
        <v>438</v>
      </c>
      <c r="I11" s="67">
        <f t="shared" si="1"/>
        <v>-68</v>
      </c>
      <c r="J11" s="17">
        <f t="shared" si="2"/>
        <v>13155</v>
      </c>
      <c r="K11" s="33">
        <v>6.84</v>
      </c>
      <c r="L11" s="91" t="s">
        <v>266</v>
      </c>
    </row>
    <row r="12" spans="1:12">
      <c r="A12" s="10" t="s">
        <v>277</v>
      </c>
      <c r="B12" s="17">
        <v>1716</v>
      </c>
      <c r="C12" s="67">
        <f>+'tab27'!E9</f>
        <v>7022</v>
      </c>
      <c r="D12" s="17">
        <v>3796</v>
      </c>
      <c r="E12" s="17">
        <f t="shared" si="0"/>
        <v>12534</v>
      </c>
      <c r="F12" s="17">
        <v>9935</v>
      </c>
      <c r="G12" s="17">
        <v>238</v>
      </c>
      <c r="H12" s="17">
        <v>511</v>
      </c>
      <c r="I12" s="67">
        <f t="shared" si="1"/>
        <v>201</v>
      </c>
      <c r="J12" s="17">
        <f t="shared" si="2"/>
        <v>10885</v>
      </c>
      <c r="K12" s="33">
        <v>6.09</v>
      </c>
      <c r="L12" s="91" t="s">
        <v>266</v>
      </c>
    </row>
    <row r="13" spans="1:12">
      <c r="A13" s="10" t="s">
        <v>278</v>
      </c>
      <c r="B13" s="17">
        <v>1649</v>
      </c>
      <c r="C13" s="67">
        <f>+'tab27'!E10</f>
        <v>8293</v>
      </c>
      <c r="D13" s="17">
        <v>2927</v>
      </c>
      <c r="E13" s="17">
        <f t="shared" si="0"/>
        <v>12869</v>
      </c>
      <c r="F13" s="17">
        <v>10313</v>
      </c>
      <c r="G13" s="17">
        <v>250</v>
      </c>
      <c r="H13" s="17">
        <v>517</v>
      </c>
      <c r="I13" s="67">
        <f t="shared" si="1"/>
        <v>160</v>
      </c>
      <c r="J13" s="17">
        <f t="shared" si="2"/>
        <v>11240</v>
      </c>
      <c r="K13" s="33">
        <v>5.05</v>
      </c>
      <c r="L13" s="91" t="s">
        <v>266</v>
      </c>
    </row>
    <row r="14" spans="1:12">
      <c r="A14" s="10" t="s">
        <v>279</v>
      </c>
      <c r="B14" s="17">
        <v>1629</v>
      </c>
      <c r="C14" s="67">
        <f>+'tab27'!E11</f>
        <v>11538</v>
      </c>
      <c r="D14" s="17">
        <v>2224</v>
      </c>
      <c r="E14" s="17">
        <f t="shared" si="0"/>
        <v>15391</v>
      </c>
      <c r="F14" s="17">
        <v>10000</v>
      </c>
      <c r="G14" s="17">
        <v>1448</v>
      </c>
      <c r="H14" s="17">
        <v>362</v>
      </c>
      <c r="I14" s="67">
        <f t="shared" si="1"/>
        <v>280</v>
      </c>
      <c r="J14" s="17">
        <f t="shared" si="2"/>
        <v>12090</v>
      </c>
      <c r="K14" s="33">
        <v>3.47</v>
      </c>
      <c r="L14" s="91" t="s">
        <v>266</v>
      </c>
    </row>
    <row r="15" spans="1:12">
      <c r="A15" s="10" t="s">
        <v>280</v>
      </c>
      <c r="B15" s="17">
        <v>3301</v>
      </c>
      <c r="C15" s="67">
        <f>+'tab27'!E12</f>
        <v>7444</v>
      </c>
      <c r="D15" s="17">
        <v>2925</v>
      </c>
      <c r="E15" s="17">
        <f t="shared" si="0"/>
        <v>13670</v>
      </c>
      <c r="F15" s="17">
        <v>10800</v>
      </c>
      <c r="G15" s="17">
        <v>156</v>
      </c>
      <c r="H15" s="17">
        <v>223</v>
      </c>
      <c r="I15" s="67">
        <f t="shared" si="1"/>
        <v>166</v>
      </c>
      <c r="J15" s="17">
        <f t="shared" si="2"/>
        <v>11345</v>
      </c>
      <c r="K15" s="33">
        <v>3.39</v>
      </c>
      <c r="L15" s="91" t="s">
        <v>266</v>
      </c>
    </row>
    <row r="16" spans="1:12">
      <c r="A16" s="10" t="s">
        <v>281</v>
      </c>
      <c r="B16" s="17">
        <v>2325</v>
      </c>
      <c r="C16" s="67">
        <f>+'tab27'!E13</f>
        <v>1615</v>
      </c>
      <c r="D16" s="17">
        <v>6730</v>
      </c>
      <c r="E16" s="17">
        <f t="shared" si="0"/>
        <v>10670</v>
      </c>
      <c r="F16" s="17">
        <v>8500</v>
      </c>
      <c r="G16" s="17">
        <v>764</v>
      </c>
      <c r="H16" s="17">
        <v>158</v>
      </c>
      <c r="I16" s="67">
        <f t="shared" si="1"/>
        <v>-59</v>
      </c>
      <c r="J16" s="17">
        <f t="shared" si="2"/>
        <v>9363</v>
      </c>
      <c r="K16" s="33">
        <v>7.56</v>
      </c>
      <c r="L16" s="91" t="s">
        <v>266</v>
      </c>
    </row>
    <row r="17" spans="1:12">
      <c r="A17" s="10" t="s">
        <v>9</v>
      </c>
      <c r="B17" s="17">
        <v>1307</v>
      </c>
      <c r="C17" s="67">
        <f>+'tab27'!E14</f>
        <v>1215</v>
      </c>
      <c r="D17" s="17">
        <v>7260</v>
      </c>
      <c r="E17" s="17">
        <f t="shared" si="0"/>
        <v>9782</v>
      </c>
      <c r="F17" s="17">
        <v>8250</v>
      </c>
      <c r="G17" s="17">
        <v>1054</v>
      </c>
      <c r="H17" s="17">
        <v>211</v>
      </c>
      <c r="I17" s="67">
        <f t="shared" si="1"/>
        <v>23</v>
      </c>
      <c r="J17" s="17">
        <f t="shared" si="2"/>
        <v>9538</v>
      </c>
      <c r="K17" s="33">
        <v>7.2</v>
      </c>
      <c r="L17" s="91" t="s">
        <v>266</v>
      </c>
    </row>
    <row r="18" spans="1:12">
      <c r="A18" s="10" t="s">
        <v>10</v>
      </c>
      <c r="B18" s="17">
        <v>244</v>
      </c>
      <c r="C18" s="67">
        <f>+'tab27'!E15</f>
        <v>3812</v>
      </c>
      <c r="D18" s="17">
        <v>6715</v>
      </c>
      <c r="E18" s="17">
        <f t="shared" si="0"/>
        <v>10771</v>
      </c>
      <c r="F18" s="17">
        <v>8800</v>
      </c>
      <c r="G18" s="17">
        <v>549</v>
      </c>
      <c r="H18" s="17">
        <v>288</v>
      </c>
      <c r="I18" s="67">
        <f t="shared" si="1"/>
        <v>163</v>
      </c>
      <c r="J18" s="17">
        <f t="shared" si="2"/>
        <v>9800</v>
      </c>
      <c r="K18" s="33">
        <v>5.27</v>
      </c>
      <c r="L18" s="91" t="s">
        <v>266</v>
      </c>
    </row>
    <row r="19" spans="1:12">
      <c r="A19" s="10" t="s">
        <v>11</v>
      </c>
      <c r="B19" s="17">
        <v>971</v>
      </c>
      <c r="C19" s="67">
        <f>+'tab27'!E16</f>
        <v>6200</v>
      </c>
      <c r="D19" s="17">
        <v>4371</v>
      </c>
      <c r="E19" s="17">
        <f t="shared" si="0"/>
        <v>11542</v>
      </c>
      <c r="F19" s="17">
        <v>9050</v>
      </c>
      <c r="G19" s="17">
        <v>541</v>
      </c>
      <c r="H19" s="17">
        <v>139</v>
      </c>
      <c r="I19" s="67">
        <f t="shared" si="1"/>
        <v>256</v>
      </c>
      <c r="J19" s="17">
        <f t="shared" si="2"/>
        <v>9986</v>
      </c>
      <c r="K19" s="33">
        <v>3.52</v>
      </c>
      <c r="L19" s="55">
        <v>4.984</v>
      </c>
    </row>
    <row r="20" spans="1:12">
      <c r="A20" s="10" t="s">
        <v>12</v>
      </c>
      <c r="B20" s="17">
        <v>1556</v>
      </c>
      <c r="C20" s="67">
        <f>+'tab27'!E17</f>
        <v>3288</v>
      </c>
      <c r="D20" s="17">
        <v>6035</v>
      </c>
      <c r="E20" s="17">
        <f t="shared" si="0"/>
        <v>10879</v>
      </c>
      <c r="F20" s="17">
        <v>8600</v>
      </c>
      <c r="G20" s="17">
        <v>230</v>
      </c>
      <c r="H20" s="17">
        <v>167</v>
      </c>
      <c r="I20" s="67">
        <f t="shared" si="1"/>
        <v>337</v>
      </c>
      <c r="J20" s="17">
        <f t="shared" si="2"/>
        <v>9334</v>
      </c>
      <c r="K20" s="33">
        <v>4.12</v>
      </c>
      <c r="L20" s="55">
        <v>4.984</v>
      </c>
    </row>
    <row r="21" spans="1:12">
      <c r="A21" s="10" t="s">
        <v>13</v>
      </c>
      <c r="B21" s="17">
        <v>1545</v>
      </c>
      <c r="C21" s="67">
        <f>+'tab27'!E18</f>
        <v>3482</v>
      </c>
      <c r="D21" s="17">
        <v>5118.6616785714286</v>
      </c>
      <c r="E21" s="17">
        <f t="shared" si="0"/>
        <v>10145.661678571429</v>
      </c>
      <c r="F21" s="17">
        <v>8650</v>
      </c>
      <c r="G21" s="17">
        <v>126</v>
      </c>
      <c r="H21" s="17">
        <v>144</v>
      </c>
      <c r="I21" s="67">
        <f t="shared" si="1"/>
        <v>70.661678571428638</v>
      </c>
      <c r="J21" s="17">
        <f t="shared" si="2"/>
        <v>8990.6616785714286</v>
      </c>
      <c r="K21" s="33">
        <v>4.25</v>
      </c>
      <c r="L21" s="55">
        <v>4.984</v>
      </c>
    </row>
    <row r="22" spans="1:12">
      <c r="A22" s="10" t="s">
        <v>14</v>
      </c>
      <c r="B22" s="17">
        <v>1155</v>
      </c>
      <c r="C22" s="67">
        <f>+'tab27'!E19</f>
        <v>2922</v>
      </c>
      <c r="D22" s="17">
        <v>6005</v>
      </c>
      <c r="E22" s="17">
        <f t="shared" si="0"/>
        <v>10082</v>
      </c>
      <c r="F22" s="17">
        <v>8550</v>
      </c>
      <c r="G22" s="17">
        <v>72</v>
      </c>
      <c r="H22" s="17">
        <v>134</v>
      </c>
      <c r="I22" s="67">
        <f t="shared" si="1"/>
        <v>156</v>
      </c>
      <c r="J22" s="17">
        <f t="shared" si="2"/>
        <v>8912</v>
      </c>
      <c r="K22" s="33">
        <v>4.63</v>
      </c>
      <c r="L22" s="55">
        <v>4.871999999999999</v>
      </c>
    </row>
    <row r="23" spans="1:12">
      <c r="A23" s="10" t="s">
        <v>15</v>
      </c>
      <c r="B23" s="17">
        <v>1170</v>
      </c>
      <c r="C23" s="67">
        <f>+'tab27'!E20</f>
        <v>2212</v>
      </c>
      <c r="D23" s="17">
        <v>7247.98</v>
      </c>
      <c r="E23" s="17">
        <f t="shared" si="0"/>
        <v>10629.98</v>
      </c>
      <c r="F23" s="17">
        <v>9000</v>
      </c>
      <c r="G23" s="17">
        <v>119</v>
      </c>
      <c r="H23" s="17">
        <v>78</v>
      </c>
      <c r="I23" s="67">
        <f t="shared" si="1"/>
        <v>202.97999999999956</v>
      </c>
      <c r="J23" s="17">
        <f t="shared" si="2"/>
        <v>9399.98</v>
      </c>
      <c r="K23" s="33">
        <v>5.25</v>
      </c>
      <c r="L23" s="55">
        <v>4.871999999999999</v>
      </c>
    </row>
    <row r="24" spans="1:12">
      <c r="A24" s="10" t="s">
        <v>16</v>
      </c>
      <c r="B24" s="17">
        <v>1230</v>
      </c>
      <c r="C24" s="67">
        <f>+'tab27'!E21</f>
        <v>1602</v>
      </c>
      <c r="D24" s="17">
        <v>8390.3780000000006</v>
      </c>
      <c r="E24" s="17">
        <f t="shared" si="0"/>
        <v>11222.378000000001</v>
      </c>
      <c r="F24" s="17">
        <v>10000</v>
      </c>
      <c r="G24" s="17">
        <v>144</v>
      </c>
      <c r="H24" s="17">
        <v>122</v>
      </c>
      <c r="I24" s="67">
        <f t="shared" si="1"/>
        <v>503.37800000000061</v>
      </c>
      <c r="J24" s="17">
        <f t="shared" si="2"/>
        <v>10769.378000000001</v>
      </c>
      <c r="K24" s="33">
        <v>6.21</v>
      </c>
      <c r="L24" s="55">
        <v>4.9896000000000003</v>
      </c>
    </row>
    <row r="25" spans="1:12">
      <c r="A25" s="10" t="s">
        <v>17</v>
      </c>
      <c r="B25" s="17">
        <v>453</v>
      </c>
      <c r="C25" s="67">
        <f>+'tab27'!E22</f>
        <v>2420</v>
      </c>
      <c r="D25" s="17">
        <v>9636.0769999999993</v>
      </c>
      <c r="E25" s="17">
        <f t="shared" si="0"/>
        <v>12509.076999999999</v>
      </c>
      <c r="F25" s="17">
        <v>10500</v>
      </c>
      <c r="G25" s="17">
        <v>174</v>
      </c>
      <c r="H25" s="17">
        <v>272</v>
      </c>
      <c r="I25" s="67">
        <f t="shared" si="1"/>
        <v>382.07699999999932</v>
      </c>
      <c r="J25" s="17">
        <f t="shared" si="2"/>
        <v>11328.076999999999</v>
      </c>
      <c r="K25" s="33">
        <v>5.75</v>
      </c>
      <c r="L25" s="55">
        <v>5.2080000000000011</v>
      </c>
    </row>
    <row r="26" spans="1:12">
      <c r="A26" s="10" t="s">
        <v>18</v>
      </c>
      <c r="B26" s="17">
        <v>1181</v>
      </c>
      <c r="C26" s="67">
        <f>+'tab27'!E23</f>
        <v>6708</v>
      </c>
      <c r="D26" s="17">
        <v>5991.89</v>
      </c>
      <c r="E26" s="17">
        <f t="shared" si="0"/>
        <v>13880.89</v>
      </c>
      <c r="F26" s="17">
        <v>10600</v>
      </c>
      <c r="G26" s="17">
        <v>476</v>
      </c>
      <c r="H26" s="17">
        <v>313</v>
      </c>
      <c r="I26" s="67">
        <f t="shared" si="1"/>
        <v>333.88999999999942</v>
      </c>
      <c r="J26" s="17">
        <f t="shared" si="2"/>
        <v>11722.89</v>
      </c>
      <c r="K26" s="33">
        <v>5.25</v>
      </c>
      <c r="L26" s="55">
        <v>5.2080000000000011</v>
      </c>
    </row>
    <row r="27" spans="1:12">
      <c r="A27" s="10" t="s">
        <v>19</v>
      </c>
      <c r="B27" s="17">
        <v>2158</v>
      </c>
      <c r="C27" s="67">
        <f>+'tab27'!E24</f>
        <v>7864</v>
      </c>
      <c r="D27" s="17">
        <v>6629.03</v>
      </c>
      <c r="E27" s="17">
        <f>SUM(B27:D27)</f>
        <v>16651.03</v>
      </c>
      <c r="F27" s="17">
        <v>11500</v>
      </c>
      <c r="G27" s="17">
        <v>200.77693332075003</v>
      </c>
      <c r="H27" s="17">
        <v>434</v>
      </c>
      <c r="I27" s="67">
        <f t="shared" si="1"/>
        <v>2749.2530666792486</v>
      </c>
      <c r="J27" s="17">
        <f t="shared" si="2"/>
        <v>14884.029999999999</v>
      </c>
      <c r="K27" s="33">
        <v>3.79</v>
      </c>
      <c r="L27" s="55">
        <v>5.2080000000000011</v>
      </c>
    </row>
    <row r="28" spans="1:12">
      <c r="A28" s="62" t="s">
        <v>337</v>
      </c>
      <c r="B28" s="67">
        <v>1767</v>
      </c>
      <c r="C28" s="67">
        <f>+'tab27'!E25</f>
        <v>10730</v>
      </c>
      <c r="D28" s="67">
        <v>2848.6403910427503</v>
      </c>
      <c r="E28" s="67">
        <f>SUM(B28:D28)</f>
        <v>15345.640391042751</v>
      </c>
      <c r="F28" s="67">
        <v>12000</v>
      </c>
      <c r="G28" s="67">
        <v>1016.7494627070001</v>
      </c>
      <c r="H28" s="67">
        <v>474</v>
      </c>
      <c r="I28" s="67">
        <f t="shared" si="1"/>
        <v>546.89092833575057</v>
      </c>
      <c r="J28" s="17">
        <f t="shared" si="2"/>
        <v>14037.640391042751</v>
      </c>
      <c r="K28" s="73">
        <v>3.3</v>
      </c>
      <c r="L28" s="55">
        <v>5.2080000000000011</v>
      </c>
    </row>
    <row r="29" spans="1:12">
      <c r="A29" s="62" t="s">
        <v>341</v>
      </c>
      <c r="B29" s="67">
        <v>1308</v>
      </c>
      <c r="C29" s="67">
        <f>+'tab27'!E26</f>
        <v>11455</v>
      </c>
      <c r="D29" s="67">
        <v>1904.1090303419996</v>
      </c>
      <c r="E29" s="67">
        <f>SUM(B29:D29)</f>
        <v>14667.109030341999</v>
      </c>
      <c r="F29" s="67">
        <v>10000</v>
      </c>
      <c r="G29" s="67">
        <v>2385.9618440894997</v>
      </c>
      <c r="H29" s="67">
        <v>635</v>
      </c>
      <c r="I29" s="67">
        <f t="shared" si="1"/>
        <v>753.14718625249907</v>
      </c>
      <c r="J29" s="17">
        <f t="shared" si="2"/>
        <v>13774.109030341999</v>
      </c>
      <c r="K29" s="73">
        <v>4.29</v>
      </c>
      <c r="L29" s="55">
        <v>5.2080000000000011</v>
      </c>
    </row>
    <row r="30" spans="1:12">
      <c r="A30" s="62" t="s">
        <v>353</v>
      </c>
      <c r="B30" s="67">
        <v>893</v>
      </c>
      <c r="C30" s="67">
        <f>+'tab27'!E27</f>
        <v>11863</v>
      </c>
      <c r="D30" s="67">
        <v>2900.8668232800005</v>
      </c>
      <c r="E30" s="67">
        <f>SUM(B30:D30)</f>
        <v>15656.866823280001</v>
      </c>
      <c r="F30" s="67">
        <v>10500</v>
      </c>
      <c r="G30" s="67">
        <v>3180.7399643010003</v>
      </c>
      <c r="H30" s="67">
        <v>482</v>
      </c>
      <c r="I30" s="67">
        <f t="shared" si="1"/>
        <v>416.12685897900064</v>
      </c>
      <c r="J30" s="17">
        <f t="shared" si="2"/>
        <v>14578.866823280001</v>
      </c>
      <c r="K30" s="73">
        <v>5.77</v>
      </c>
      <c r="L30" s="55">
        <v>5.3760000000000003</v>
      </c>
    </row>
    <row r="31" spans="1:12">
      <c r="A31" s="62" t="s">
        <v>364</v>
      </c>
      <c r="B31" s="67">
        <v>1078</v>
      </c>
      <c r="C31" s="67">
        <f>+'tab27'!E28</f>
        <v>10516</v>
      </c>
      <c r="D31" s="67">
        <v>4580.0208701954998</v>
      </c>
      <c r="E31" s="67">
        <f t="shared" ref="E31:E36" si="3">B31+C31+D31</f>
        <v>16174.0208701955</v>
      </c>
      <c r="F31" s="67">
        <v>11260</v>
      </c>
      <c r="G31" s="67">
        <v>2515.6389305452503</v>
      </c>
      <c r="H31" s="67">
        <v>424</v>
      </c>
      <c r="I31" s="67">
        <f t="shared" si="1"/>
        <v>686.38193965024948</v>
      </c>
      <c r="J31" s="17">
        <f t="shared" si="2"/>
        <v>14886.0208701955</v>
      </c>
      <c r="K31" s="73">
        <v>5.88</v>
      </c>
      <c r="L31" s="55">
        <v>5.3760000000000003</v>
      </c>
    </row>
    <row r="32" spans="1:12">
      <c r="A32" s="62" t="s">
        <v>366</v>
      </c>
      <c r="B32" s="67">
        <v>1288</v>
      </c>
      <c r="C32" s="67">
        <f>+'tab27'!E29</f>
        <v>10368</v>
      </c>
      <c r="D32" s="67">
        <v>5413.1293752322508</v>
      </c>
      <c r="E32" s="67">
        <f t="shared" si="3"/>
        <v>17069.129375232253</v>
      </c>
      <c r="F32" s="67">
        <v>13600</v>
      </c>
      <c r="G32" s="67">
        <v>1509.5931438577497</v>
      </c>
      <c r="H32" s="67">
        <v>796</v>
      </c>
      <c r="I32" s="67">
        <f t="shared" ref="I32:I37" si="4">+J32-F32-G32-H32</f>
        <v>300.5362313745029</v>
      </c>
      <c r="J32" s="17">
        <f t="shared" si="2"/>
        <v>16206.129375232253</v>
      </c>
      <c r="K32" s="73">
        <v>8.07</v>
      </c>
      <c r="L32" s="55">
        <v>5.3760000000000003</v>
      </c>
    </row>
    <row r="33" spans="1:12">
      <c r="A33" s="62" t="s">
        <v>385</v>
      </c>
      <c r="B33" s="67">
        <v>863</v>
      </c>
      <c r="C33" s="67">
        <f>+'tab27'!E30</f>
        <v>19695</v>
      </c>
      <c r="D33" s="67">
        <v>4255.8753369037504</v>
      </c>
      <c r="E33" s="67">
        <f t="shared" si="3"/>
        <v>24813.875336903751</v>
      </c>
      <c r="F33" s="67">
        <v>16400</v>
      </c>
      <c r="G33" s="67">
        <v>3779.5423454887505</v>
      </c>
      <c r="H33" s="67">
        <v>659</v>
      </c>
      <c r="I33" s="67">
        <f t="shared" si="4"/>
        <v>440.33299141500083</v>
      </c>
      <c r="J33" s="17">
        <f t="shared" si="2"/>
        <v>21278.875336903751</v>
      </c>
      <c r="K33" s="73">
        <v>5.94</v>
      </c>
      <c r="L33" s="55">
        <v>5.3760000000000003</v>
      </c>
    </row>
    <row r="34" spans="1:12">
      <c r="A34" s="62" t="s">
        <v>400</v>
      </c>
      <c r="B34" s="67">
        <v>3535</v>
      </c>
      <c r="C34" s="67">
        <f>+'tab27'!E31</f>
        <v>11019</v>
      </c>
      <c r="D34" s="67">
        <v>5463.86402637225</v>
      </c>
      <c r="E34" s="67">
        <f t="shared" si="3"/>
        <v>20017.864026372248</v>
      </c>
      <c r="F34" s="67">
        <v>14900</v>
      </c>
      <c r="G34" s="67">
        <v>1787.8624617420003</v>
      </c>
      <c r="H34" s="67">
        <v>287</v>
      </c>
      <c r="I34" s="67">
        <f t="shared" si="4"/>
        <v>599.00156463024791</v>
      </c>
      <c r="J34" s="17">
        <f t="shared" si="2"/>
        <v>17573.864026372248</v>
      </c>
      <c r="K34" s="73">
        <v>5.8</v>
      </c>
      <c r="L34" s="55">
        <v>5.3760000000000003</v>
      </c>
    </row>
    <row r="35" spans="1:12">
      <c r="A35" s="62" t="s">
        <v>404</v>
      </c>
      <c r="B35" s="67">
        <v>2444</v>
      </c>
      <c r="C35" s="67">
        <f>+'tab27'!E32</f>
        <v>5896</v>
      </c>
      <c r="D35" s="67">
        <v>8019.384</v>
      </c>
      <c r="E35" s="67">
        <f t="shared" si="3"/>
        <v>16359.384</v>
      </c>
      <c r="F35" s="67">
        <v>11700</v>
      </c>
      <c r="G35" s="67">
        <v>2220.5250801652501</v>
      </c>
      <c r="H35" s="67">
        <v>287</v>
      </c>
      <c r="I35" s="67">
        <f t="shared" si="4"/>
        <v>639.85891983474994</v>
      </c>
      <c r="J35" s="17">
        <f t="shared" si="2"/>
        <v>14847.384</v>
      </c>
      <c r="K35" s="73">
        <v>13</v>
      </c>
      <c r="L35" s="55">
        <v>5.3760000000000003</v>
      </c>
    </row>
    <row r="36" spans="1:12">
      <c r="A36" s="62" t="s">
        <v>411</v>
      </c>
      <c r="B36" s="67">
        <v>1512</v>
      </c>
      <c r="C36" s="67">
        <f>+'tab27'!E33</f>
        <v>5716</v>
      </c>
      <c r="D36" s="67">
        <v>4794.1263182362518</v>
      </c>
      <c r="E36" s="67">
        <f t="shared" si="3"/>
        <v>12022.126318236253</v>
      </c>
      <c r="F36" s="67">
        <v>8150</v>
      </c>
      <c r="G36" s="67">
        <v>432.30354061499997</v>
      </c>
      <c r="H36" s="67">
        <v>257</v>
      </c>
      <c r="I36" s="67">
        <f t="shared" si="4"/>
        <v>630.82277762125273</v>
      </c>
      <c r="J36" s="17">
        <f t="shared" si="2"/>
        <v>9470.1263182362527</v>
      </c>
      <c r="K36" s="73">
        <v>12.7</v>
      </c>
      <c r="L36" s="55">
        <v>5.2080000000000011</v>
      </c>
    </row>
    <row r="37" spans="1:12">
      <c r="A37" s="115" t="s">
        <v>417</v>
      </c>
      <c r="B37" s="67">
        <v>2552</v>
      </c>
      <c r="C37" s="67">
        <f>+'tab27'!E34</f>
        <v>7423</v>
      </c>
      <c r="D37" s="67">
        <v>6283.0003458014999</v>
      </c>
      <c r="E37" s="67">
        <f t="shared" ref="E37:E42" si="5">B37+C37+D37</f>
        <v>16258.0003458015</v>
      </c>
      <c r="F37" s="67">
        <v>12000</v>
      </c>
      <c r="G37" s="67">
        <v>1751.6518209697499</v>
      </c>
      <c r="H37" s="67">
        <v>341</v>
      </c>
      <c r="I37" s="67">
        <f t="shared" si="4"/>
        <v>608.34852483174996</v>
      </c>
      <c r="J37" s="17">
        <f t="shared" si="2"/>
        <v>14701.0003458015</v>
      </c>
      <c r="K37" s="73">
        <v>8.15</v>
      </c>
      <c r="L37" s="55">
        <v>5.2080000000000011</v>
      </c>
    </row>
    <row r="38" spans="1:12">
      <c r="A38" s="115" t="s">
        <v>420</v>
      </c>
      <c r="B38" s="67">
        <v>1557</v>
      </c>
      <c r="C38" s="67">
        <f>+'tab27'!E35</f>
        <v>9056</v>
      </c>
      <c r="D38" s="67">
        <v>6039.7701876742494</v>
      </c>
      <c r="E38" s="67">
        <f t="shared" si="5"/>
        <v>16652.77018767425</v>
      </c>
      <c r="F38" s="67">
        <v>11635</v>
      </c>
      <c r="G38" s="67">
        <v>2130.4855619077498</v>
      </c>
      <c r="H38" s="67">
        <v>144</v>
      </c>
      <c r="I38" s="67">
        <f t="shared" ref="I38:I44" si="6">+J38-F38-G38-H38</f>
        <v>573.28462576650054</v>
      </c>
      <c r="J38" s="17">
        <f t="shared" si="2"/>
        <v>14482.77018767425</v>
      </c>
      <c r="K38" s="73">
        <v>12.2</v>
      </c>
      <c r="L38" s="55">
        <v>5.6503999999999994</v>
      </c>
    </row>
    <row r="39" spans="1:12">
      <c r="A39" s="115" t="s">
        <v>425</v>
      </c>
      <c r="B39" s="67">
        <v>2170</v>
      </c>
      <c r="C39" s="67">
        <f>+'tab27'!E36</f>
        <v>2791</v>
      </c>
      <c r="D39" s="67">
        <v>8285.7205434735006</v>
      </c>
      <c r="E39" s="67">
        <f t="shared" si="5"/>
        <v>13246.720543473501</v>
      </c>
      <c r="F39" s="67">
        <v>10500</v>
      </c>
      <c r="G39" s="67">
        <v>654.03481552200003</v>
      </c>
      <c r="H39" s="67">
        <v>279</v>
      </c>
      <c r="I39" s="67">
        <f t="shared" si="6"/>
        <v>693.68572795150055</v>
      </c>
      <c r="J39" s="17">
        <f t="shared" si="2"/>
        <v>12126.720543473501</v>
      </c>
      <c r="K39" s="73">
        <v>13.9</v>
      </c>
      <c r="L39" s="55">
        <v>5.6503999999999994</v>
      </c>
    </row>
    <row r="40" spans="1:12">
      <c r="A40" s="115" t="s">
        <v>438</v>
      </c>
      <c r="B40" s="67">
        <v>1120</v>
      </c>
      <c r="C40" s="67">
        <f>+'tab27'!E37</f>
        <v>5798</v>
      </c>
      <c r="D40" s="67">
        <v>6927.7528917175496</v>
      </c>
      <c r="E40" s="67">
        <f t="shared" si="5"/>
        <v>13845.75289171755</v>
      </c>
      <c r="F40" s="67">
        <v>11000</v>
      </c>
      <c r="G40" s="67">
        <v>1019.80880878275</v>
      </c>
      <c r="H40" s="67">
        <v>147</v>
      </c>
      <c r="I40" s="67">
        <f t="shared" si="6"/>
        <v>754.94408293479955</v>
      </c>
      <c r="J40" s="17">
        <f t="shared" si="2"/>
        <v>12921.75289171755</v>
      </c>
      <c r="K40" s="73">
        <v>13.8</v>
      </c>
      <c r="L40" s="55">
        <v>5.6503999999999994</v>
      </c>
    </row>
    <row r="41" spans="1:12">
      <c r="A41" s="115" t="s">
        <v>464</v>
      </c>
      <c r="B41" s="67">
        <v>924</v>
      </c>
      <c r="C41" s="67">
        <f>+'tab27'!E38</f>
        <v>3356</v>
      </c>
      <c r="D41" s="67">
        <v>6759</v>
      </c>
      <c r="E41" s="67">
        <f t="shared" si="5"/>
        <v>11039</v>
      </c>
      <c r="F41" s="67">
        <v>8700</v>
      </c>
      <c r="G41" s="67">
        <v>598.69734669675006</v>
      </c>
      <c r="H41" s="67">
        <v>252</v>
      </c>
      <c r="I41" s="67">
        <f t="shared" si="6"/>
        <v>725.30265330324994</v>
      </c>
      <c r="J41" s="17">
        <f t="shared" si="2"/>
        <v>10276</v>
      </c>
      <c r="K41" s="73">
        <v>13.8</v>
      </c>
      <c r="L41" s="55">
        <v>5.6503999999999994</v>
      </c>
    </row>
    <row r="42" spans="1:12">
      <c r="A42" s="115" t="s">
        <v>496</v>
      </c>
      <c r="B42" s="67">
        <v>763</v>
      </c>
      <c r="C42" s="67">
        <f>+'tab27'!E39</f>
        <v>6368</v>
      </c>
      <c r="D42" s="224">
        <v>7464.4880222047505</v>
      </c>
      <c r="E42" s="67">
        <f t="shared" si="5"/>
        <v>14595.48802220475</v>
      </c>
      <c r="F42" s="224">
        <v>11850</v>
      </c>
      <c r="G42" s="224">
        <v>528.45950703375001</v>
      </c>
      <c r="H42" s="224">
        <v>375</v>
      </c>
      <c r="I42" s="67">
        <f t="shared" si="6"/>
        <v>1034.0285151710004</v>
      </c>
      <c r="J42" s="17">
        <f t="shared" si="2"/>
        <v>13787.48802220475</v>
      </c>
      <c r="K42" s="225">
        <v>11.8</v>
      </c>
      <c r="L42" s="55">
        <v>5.6503999999999994</v>
      </c>
    </row>
    <row r="43" spans="1:12">
      <c r="A43" s="115" t="s">
        <v>495</v>
      </c>
      <c r="B43" s="67">
        <v>808</v>
      </c>
      <c r="C43" s="67">
        <f>+'tab27'!E40</f>
        <v>10095</v>
      </c>
      <c r="D43" s="224">
        <v>4480.6695010289995</v>
      </c>
      <c r="E43" s="67">
        <v>15339.497379691</v>
      </c>
      <c r="F43" s="224">
        <v>10700</v>
      </c>
      <c r="G43" s="224">
        <v>869.82518529449999</v>
      </c>
      <c r="H43" s="224">
        <v>303</v>
      </c>
      <c r="I43" s="67">
        <f t="shared" si="6"/>
        <v>552.67219439649989</v>
      </c>
      <c r="J43" s="17">
        <f t="shared" si="2"/>
        <v>12425.497379691</v>
      </c>
      <c r="K43" s="225">
        <v>8.9499999999999993</v>
      </c>
      <c r="L43" s="55">
        <v>5.6503999999999994</v>
      </c>
    </row>
    <row r="44" spans="1:12">
      <c r="A44" s="115" t="s">
        <v>498</v>
      </c>
      <c r="B44" s="67">
        <v>2914</v>
      </c>
      <c r="C44" s="67">
        <f>+'tab27'!E41</f>
        <v>8656</v>
      </c>
      <c r="D44" s="224">
        <v>3091.4159639872501</v>
      </c>
      <c r="E44" s="67">
        <f>B44+C44+D44</f>
        <v>14661.415963987251</v>
      </c>
      <c r="F44" s="224">
        <v>10500</v>
      </c>
      <c r="G44" s="224">
        <v>1331.73707494725</v>
      </c>
      <c r="H44" s="224">
        <v>245</v>
      </c>
      <c r="I44" s="67">
        <f t="shared" si="6"/>
        <v>414.67888904000051</v>
      </c>
      <c r="J44" s="17">
        <f t="shared" si="2"/>
        <v>12491.415963987251</v>
      </c>
      <c r="K44" s="225">
        <v>8</v>
      </c>
      <c r="L44" s="55">
        <v>5.6503999999999994</v>
      </c>
    </row>
    <row r="45" spans="1:12">
      <c r="A45" s="129" t="s">
        <v>636</v>
      </c>
      <c r="B45" s="67">
        <v>2170</v>
      </c>
      <c r="C45" s="67">
        <f>+'tab27'!E42</f>
        <v>3842</v>
      </c>
      <c r="D45" s="224">
        <v>5125</v>
      </c>
      <c r="E45" s="67">
        <f>B45+C45+D45</f>
        <v>11137</v>
      </c>
      <c r="F45" s="224">
        <v>9000</v>
      </c>
      <c r="G45" s="224">
        <v>479.96557857900001</v>
      </c>
      <c r="H45" s="224">
        <v>168</v>
      </c>
      <c r="I45" s="67">
        <f>+J45-F45-G45-H45</f>
        <v>689.03442142099993</v>
      </c>
      <c r="J45" s="67">
        <f>+E45-800</f>
        <v>10337</v>
      </c>
      <c r="K45" s="225">
        <v>9.5299999999999994</v>
      </c>
      <c r="L45" s="337">
        <v>5.6503999999999994</v>
      </c>
    </row>
    <row r="46" spans="1:12">
      <c r="A46" s="136" t="s">
        <v>635</v>
      </c>
      <c r="B46" s="18">
        <v>1629</v>
      </c>
      <c r="C46" s="18">
        <f>+'tab27'!E43</f>
        <v>4466</v>
      </c>
      <c r="D46" s="265">
        <v>5524</v>
      </c>
      <c r="E46" s="18">
        <f>B46+C46+D46</f>
        <v>11619</v>
      </c>
      <c r="F46" s="265">
        <v>9300</v>
      </c>
      <c r="G46" s="265">
        <v>335</v>
      </c>
      <c r="H46" s="265">
        <v>162</v>
      </c>
      <c r="I46" s="18">
        <f>+J46-F46-G46-H46</f>
        <v>1022</v>
      </c>
      <c r="J46" s="18">
        <f>+E46-800</f>
        <v>10819</v>
      </c>
      <c r="K46" s="314" t="s">
        <v>670</v>
      </c>
      <c r="L46" s="152">
        <v>5.6503999999999994</v>
      </c>
    </row>
    <row r="47" spans="1:12" ht="13.2" customHeight="1">
      <c r="A47" s="107" t="s">
        <v>380</v>
      </c>
      <c r="B47" s="151" t="s">
        <v>459</v>
      </c>
    </row>
    <row r="48" spans="1:12" ht="13.2" customHeight="1">
      <c r="A48" s="107" t="s">
        <v>556</v>
      </c>
    </row>
    <row r="49" spans="1:12">
      <c r="A49" s="153" t="s">
        <v>602</v>
      </c>
    </row>
    <row r="50" spans="1:12" ht="10.199999999999999" customHeight="1">
      <c r="A50" s="153" t="s">
        <v>603</v>
      </c>
      <c r="K50" s="270"/>
      <c r="L50" s="270" t="s">
        <v>679</v>
      </c>
    </row>
    <row r="51" spans="1:12" ht="10.199999999999999" customHeight="1"/>
  </sheetData>
  <phoneticPr fontId="0" type="noConversion"/>
  <pageMargins left="0.7" right="0.7" top="0.75" bottom="0.75" header="0.3" footer="0.3"/>
  <pageSetup scale="12" firstPageNumber="56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1"/>
  <sheetViews>
    <sheetView zoomScale="110" zoomScaleNormal="110" zoomScaleSheetLayoutView="90" workbookViewId="0">
      <selection activeCell="A105" sqref="A105"/>
    </sheetView>
  </sheetViews>
  <sheetFormatPr defaultRowHeight="10.199999999999999"/>
  <cols>
    <col min="1" max="7" width="17.7109375" customWidth="1"/>
    <col min="8" max="8" width="12.140625" bestFit="1" customWidth="1"/>
  </cols>
  <sheetData>
    <row r="1" spans="1:7">
      <c r="A1" s="136" t="s">
        <v>609</v>
      </c>
      <c r="B1" s="1"/>
      <c r="C1" s="1"/>
      <c r="D1" s="1"/>
      <c r="E1" s="1"/>
      <c r="F1" s="1"/>
      <c r="G1" s="1"/>
    </row>
    <row r="2" spans="1:7">
      <c r="A2" t="s">
        <v>20</v>
      </c>
      <c r="B2" s="7" t="s">
        <v>62</v>
      </c>
      <c r="C2" s="7" t="s">
        <v>63</v>
      </c>
      <c r="D2" s="7" t="s">
        <v>64</v>
      </c>
      <c r="E2" s="7" t="s">
        <v>66</v>
      </c>
      <c r="F2" s="7" t="s">
        <v>67</v>
      </c>
      <c r="G2" s="7" t="s">
        <v>68</v>
      </c>
    </row>
    <row r="3" spans="1:7">
      <c r="A3" s="1"/>
      <c r="B3" s="9"/>
      <c r="C3" s="9"/>
      <c r="D3" s="9" t="s">
        <v>65</v>
      </c>
      <c r="E3" s="9"/>
      <c r="F3" s="9"/>
      <c r="G3" s="9" t="s">
        <v>69</v>
      </c>
    </row>
    <row r="4" spans="1:7">
      <c r="B4" s="300" t="s">
        <v>21</v>
      </c>
      <c r="C4" s="277"/>
      <c r="D4" s="7" t="s">
        <v>70</v>
      </c>
      <c r="E4" s="7" t="s">
        <v>4</v>
      </c>
      <c r="F4" s="8">
        <v>1000</v>
      </c>
      <c r="G4" s="7" t="s">
        <v>71</v>
      </c>
    </row>
    <row r="5" spans="1:7">
      <c r="B5" s="35"/>
      <c r="C5" s="35"/>
      <c r="D5" s="7"/>
      <c r="E5" s="7"/>
      <c r="F5" s="8"/>
      <c r="G5" s="7"/>
    </row>
    <row r="6" spans="1:7">
      <c r="A6" t="s">
        <v>22</v>
      </c>
      <c r="B6" s="12">
        <v>24440</v>
      </c>
      <c r="C6" s="12">
        <v>23655</v>
      </c>
      <c r="D6" s="63">
        <f t="shared" ref="D6:D15" si="0">+E6/C6</f>
        <v>23.46586345381526</v>
      </c>
      <c r="E6" s="12">
        <v>555085</v>
      </c>
      <c r="F6" s="12">
        <v>1184910</v>
      </c>
      <c r="G6" s="51">
        <v>1.85</v>
      </c>
    </row>
    <row r="7" spans="1:7">
      <c r="A7" t="s">
        <v>23</v>
      </c>
      <c r="B7" s="12">
        <v>27787</v>
      </c>
      <c r="C7" s="12">
        <v>27003</v>
      </c>
      <c r="D7" s="63">
        <f t="shared" si="0"/>
        <v>25.128837536570011</v>
      </c>
      <c r="E7" s="12">
        <v>678554</v>
      </c>
      <c r="F7" s="12">
        <v>1543909</v>
      </c>
      <c r="G7" s="51">
        <v>2.2999999999999998</v>
      </c>
    </row>
    <row r="8" spans="1:7">
      <c r="A8" t="s">
        <v>24</v>
      </c>
      <c r="B8" s="12">
        <v>28418</v>
      </c>
      <c r="C8" s="12">
        <v>27608</v>
      </c>
      <c r="D8" s="63">
        <f t="shared" si="0"/>
        <v>24.238843813387422</v>
      </c>
      <c r="E8" s="12">
        <v>669186</v>
      </c>
      <c r="F8" s="12">
        <v>1564352</v>
      </c>
      <c r="G8" s="51">
        <v>2.25</v>
      </c>
    </row>
    <row r="9" spans="1:7">
      <c r="A9" t="s">
        <v>25</v>
      </c>
      <c r="B9" s="12">
        <v>29462</v>
      </c>
      <c r="C9" s="12">
        <v>28615</v>
      </c>
      <c r="D9" s="63">
        <f t="shared" si="0"/>
        <v>24.433513891315744</v>
      </c>
      <c r="E9" s="12">
        <v>699165</v>
      </c>
      <c r="F9" s="12">
        <v>1755076</v>
      </c>
      <c r="G9" s="51">
        <v>2.25</v>
      </c>
    </row>
    <row r="10" spans="1:7">
      <c r="A10" t="s">
        <v>26</v>
      </c>
      <c r="B10" s="12">
        <v>31721</v>
      </c>
      <c r="C10" s="12">
        <v>30793</v>
      </c>
      <c r="D10" s="63">
        <f t="shared" si="0"/>
        <v>22.762348585717533</v>
      </c>
      <c r="E10" s="12">
        <v>700921</v>
      </c>
      <c r="F10" s="12">
        <v>1836441</v>
      </c>
      <c r="G10" s="51">
        <v>2.25</v>
      </c>
    </row>
    <row r="11" spans="1:7">
      <c r="A11" t="s">
        <v>27</v>
      </c>
      <c r="B11" s="12">
        <v>35227</v>
      </c>
      <c r="C11" s="12">
        <v>34449</v>
      </c>
      <c r="D11" s="63">
        <f t="shared" si="0"/>
        <v>24.54666318325641</v>
      </c>
      <c r="E11" s="12">
        <v>845608</v>
      </c>
      <c r="F11" s="12">
        <v>2151305</v>
      </c>
      <c r="G11" s="51">
        <v>2.25</v>
      </c>
    </row>
    <row r="12" spans="1:7">
      <c r="A12" t="s">
        <v>28</v>
      </c>
      <c r="B12" s="12">
        <v>37294</v>
      </c>
      <c r="C12" s="12">
        <v>36546</v>
      </c>
      <c r="D12" s="63">
        <f t="shared" si="0"/>
        <v>25.40581732610956</v>
      </c>
      <c r="E12" s="12">
        <v>928481</v>
      </c>
      <c r="F12" s="12">
        <v>2553612</v>
      </c>
      <c r="G12" s="51">
        <v>2.5</v>
      </c>
    </row>
    <row r="13" spans="1:7">
      <c r="A13" t="s">
        <v>29</v>
      </c>
      <c r="B13" s="12">
        <v>40819</v>
      </c>
      <c r="C13" s="12">
        <v>39805</v>
      </c>
      <c r="D13" s="63">
        <f t="shared" si="0"/>
        <v>24.530561487250345</v>
      </c>
      <c r="E13" s="12">
        <v>976439</v>
      </c>
      <c r="F13" s="12">
        <v>2433519</v>
      </c>
      <c r="G13" s="51">
        <v>2.5</v>
      </c>
    </row>
    <row r="14" spans="1:7">
      <c r="A14" t="s">
        <v>30</v>
      </c>
      <c r="B14" s="12">
        <v>42265</v>
      </c>
      <c r="C14" s="12">
        <v>41391</v>
      </c>
      <c r="D14" s="63">
        <f t="shared" si="0"/>
        <v>26.74392983982025</v>
      </c>
      <c r="E14" s="12">
        <v>1106958</v>
      </c>
      <c r="F14" s="12">
        <v>2688571</v>
      </c>
      <c r="G14" s="51">
        <v>2.5</v>
      </c>
    </row>
    <row r="15" spans="1:7">
      <c r="A15" t="s">
        <v>31</v>
      </c>
      <c r="B15" s="12">
        <v>42534</v>
      </c>
      <c r="C15" s="12">
        <v>41337</v>
      </c>
      <c r="D15" s="63">
        <f t="shared" si="0"/>
        <v>27.411761859835014</v>
      </c>
      <c r="E15" s="12">
        <v>1133120</v>
      </c>
      <c r="F15" s="12">
        <v>2664204</v>
      </c>
      <c r="G15" s="51">
        <v>2.25</v>
      </c>
    </row>
    <row r="16" spans="1:7">
      <c r="A16" t="s">
        <v>32</v>
      </c>
      <c r="B16" s="12">
        <v>43082</v>
      </c>
      <c r="C16" s="12">
        <v>42249</v>
      </c>
      <c r="D16" s="63">
        <f t="shared" ref="D16:D25" si="1">+E16/C16</f>
        <v>26.677554498331322</v>
      </c>
      <c r="E16" s="12">
        <v>1127100</v>
      </c>
      <c r="F16" s="12">
        <v>3214710</v>
      </c>
      <c r="G16" s="51">
        <v>2.25</v>
      </c>
    </row>
    <row r="17" spans="1:7">
      <c r="A17" t="s">
        <v>33</v>
      </c>
      <c r="B17" s="12">
        <v>43476</v>
      </c>
      <c r="C17" s="12">
        <v>42705</v>
      </c>
      <c r="D17" s="63">
        <f t="shared" si="1"/>
        <v>27.540124107247394</v>
      </c>
      <c r="E17" s="12">
        <v>1176101</v>
      </c>
      <c r="F17" s="12">
        <v>3560022</v>
      </c>
      <c r="G17" s="51">
        <v>2.25</v>
      </c>
    </row>
    <row r="18" spans="1:7">
      <c r="A18" t="s">
        <v>34</v>
      </c>
      <c r="B18" s="12">
        <v>46866</v>
      </c>
      <c r="C18" s="12">
        <v>45683</v>
      </c>
      <c r="D18" s="63">
        <f t="shared" si="1"/>
        <v>27.813584922181118</v>
      </c>
      <c r="E18" s="12">
        <v>1270608</v>
      </c>
      <c r="F18" s="12">
        <v>5550074</v>
      </c>
      <c r="G18" s="51">
        <v>2.25</v>
      </c>
    </row>
    <row r="19" spans="1:7">
      <c r="A19" t="s">
        <v>35</v>
      </c>
      <c r="B19" s="12">
        <v>56549</v>
      </c>
      <c r="C19" s="12">
        <v>55667</v>
      </c>
      <c r="D19" s="63">
        <f t="shared" si="1"/>
        <v>27.800007185585716</v>
      </c>
      <c r="E19" s="12">
        <v>1547543</v>
      </c>
      <c r="F19" s="12">
        <v>8790042</v>
      </c>
      <c r="G19" s="51">
        <v>2.25</v>
      </c>
    </row>
    <row r="20" spans="1:7">
      <c r="A20" t="s">
        <v>36</v>
      </c>
      <c r="B20" s="12">
        <v>52479</v>
      </c>
      <c r="C20" s="12">
        <v>51341</v>
      </c>
      <c r="D20" s="63">
        <f t="shared" si="1"/>
        <v>23.690364426092206</v>
      </c>
      <c r="E20" s="12">
        <v>1216287</v>
      </c>
      <c r="F20" s="12">
        <v>8078943</v>
      </c>
      <c r="G20" s="51">
        <v>2.25</v>
      </c>
    </row>
    <row r="21" spans="1:7">
      <c r="A21" t="s">
        <v>37</v>
      </c>
      <c r="B21" s="12">
        <v>54590</v>
      </c>
      <c r="C21" s="12">
        <v>53617</v>
      </c>
      <c r="D21" s="63">
        <f t="shared" si="1"/>
        <v>28.877855903911072</v>
      </c>
      <c r="E21" s="12">
        <v>1548344</v>
      </c>
      <c r="F21" s="12">
        <v>7622493</v>
      </c>
      <c r="G21" s="51" t="s">
        <v>72</v>
      </c>
    </row>
    <row r="22" spans="1:7">
      <c r="A22" t="s">
        <v>38</v>
      </c>
      <c r="B22" s="12">
        <v>50269</v>
      </c>
      <c r="C22" s="12">
        <v>49401</v>
      </c>
      <c r="D22" s="63">
        <f t="shared" si="1"/>
        <v>26.084654156798447</v>
      </c>
      <c r="E22" s="12">
        <v>1288608</v>
      </c>
      <c r="F22" s="12">
        <v>8775761</v>
      </c>
      <c r="G22" s="51">
        <v>2.5</v>
      </c>
    </row>
    <row r="23" spans="1:7">
      <c r="A23" t="s">
        <v>39</v>
      </c>
      <c r="B23" s="12">
        <v>58978</v>
      </c>
      <c r="C23" s="12">
        <v>57830</v>
      </c>
      <c r="D23" s="63">
        <f t="shared" si="1"/>
        <v>30.559692201279613</v>
      </c>
      <c r="E23" s="12">
        <v>1767267</v>
      </c>
      <c r="F23" s="12">
        <v>10383377</v>
      </c>
      <c r="G23" s="51">
        <v>3.5</v>
      </c>
    </row>
    <row r="24" spans="1:7">
      <c r="A24" t="s">
        <v>40</v>
      </c>
      <c r="B24" s="12">
        <v>64708</v>
      </c>
      <c r="C24" s="12">
        <v>63663</v>
      </c>
      <c r="D24" s="63">
        <f t="shared" si="1"/>
        <v>29.353847603788701</v>
      </c>
      <c r="E24" s="12">
        <v>1868754</v>
      </c>
      <c r="F24" s="12">
        <v>12449679</v>
      </c>
      <c r="G24" s="51">
        <v>4.5</v>
      </c>
    </row>
    <row r="25" spans="1:7">
      <c r="A25" t="s">
        <v>41</v>
      </c>
      <c r="B25" s="12">
        <v>71411</v>
      </c>
      <c r="C25" s="12">
        <v>70343</v>
      </c>
      <c r="D25" s="63">
        <f t="shared" si="1"/>
        <v>32.137739362836385</v>
      </c>
      <c r="E25" s="12">
        <v>2260665</v>
      </c>
      <c r="F25" s="12">
        <v>14203660</v>
      </c>
      <c r="G25" s="51">
        <v>4.5</v>
      </c>
    </row>
    <row r="26" spans="1:7">
      <c r="A26" t="s">
        <v>42</v>
      </c>
      <c r="B26" s="12">
        <v>69930</v>
      </c>
      <c r="C26" s="12">
        <v>67813</v>
      </c>
      <c r="D26" s="63">
        <f t="shared" ref="D26:D35" si="2">+E26/C26</f>
        <v>26.507351097872089</v>
      </c>
      <c r="E26" s="12">
        <v>1797543</v>
      </c>
      <c r="F26" s="12">
        <v>13601112</v>
      </c>
      <c r="G26" s="51">
        <v>5.0199999999999996</v>
      </c>
    </row>
    <row r="27" spans="1:7">
      <c r="A27" t="s">
        <v>43</v>
      </c>
      <c r="B27" s="12">
        <v>67543</v>
      </c>
      <c r="C27" s="12">
        <v>66163</v>
      </c>
      <c r="D27" s="63">
        <f t="shared" si="2"/>
        <v>30.063781872043286</v>
      </c>
      <c r="E27" s="12">
        <v>1989110</v>
      </c>
      <c r="F27" s="12">
        <v>12004638</v>
      </c>
      <c r="G27" s="51">
        <v>5.0199999999999996</v>
      </c>
    </row>
    <row r="28" spans="1:7">
      <c r="A28" t="s">
        <v>44</v>
      </c>
      <c r="B28" s="12">
        <v>70884</v>
      </c>
      <c r="C28" s="12">
        <v>69442</v>
      </c>
      <c r="D28" s="63">
        <f t="shared" si="2"/>
        <v>31.541387056824401</v>
      </c>
      <c r="E28" s="12">
        <v>2190297</v>
      </c>
      <c r="F28" s="12">
        <v>12483481</v>
      </c>
      <c r="G28" s="51">
        <v>5.0199999999999996</v>
      </c>
    </row>
    <row r="29" spans="1:7">
      <c r="A29" t="s">
        <v>45</v>
      </c>
      <c r="B29" s="12">
        <v>63779</v>
      </c>
      <c r="C29" s="12">
        <v>62525</v>
      </c>
      <c r="D29" s="63">
        <f t="shared" si="2"/>
        <v>26.161887245101958</v>
      </c>
      <c r="E29" s="12">
        <v>1635772</v>
      </c>
      <c r="F29" s="12">
        <v>12978513</v>
      </c>
      <c r="G29" s="51">
        <v>5.0199999999999996</v>
      </c>
    </row>
    <row r="30" spans="1:7">
      <c r="A30" t="s">
        <v>46</v>
      </c>
      <c r="B30" s="12">
        <v>67755</v>
      </c>
      <c r="C30" s="12">
        <v>66113</v>
      </c>
      <c r="D30" s="63">
        <f t="shared" si="2"/>
        <v>28.146703371500308</v>
      </c>
      <c r="E30" s="12">
        <v>1860863</v>
      </c>
      <c r="F30" s="12">
        <v>10864686</v>
      </c>
      <c r="G30" s="51">
        <v>5.0199999999999996</v>
      </c>
    </row>
    <row r="31" spans="1:7">
      <c r="A31" t="s">
        <v>47</v>
      </c>
      <c r="B31" s="12">
        <v>63145</v>
      </c>
      <c r="C31" s="12">
        <v>61599</v>
      </c>
      <c r="D31" s="63">
        <f t="shared" si="2"/>
        <v>34.076137599636361</v>
      </c>
      <c r="E31" s="12">
        <v>2099056</v>
      </c>
      <c r="F31" s="12">
        <v>10583535</v>
      </c>
      <c r="G31" s="51">
        <v>5.0199999999999996</v>
      </c>
    </row>
    <row r="32" spans="1:7">
      <c r="A32" t="s">
        <v>48</v>
      </c>
      <c r="B32" s="12">
        <v>60405</v>
      </c>
      <c r="C32" s="12">
        <v>58312</v>
      </c>
      <c r="D32" s="63">
        <f t="shared" si="2"/>
        <v>33.313177390588557</v>
      </c>
      <c r="E32" s="12">
        <v>1942558</v>
      </c>
      <c r="F32" s="12">
        <v>9274487</v>
      </c>
      <c r="G32" s="51">
        <v>4.7699999999999996</v>
      </c>
    </row>
    <row r="33" spans="1:7">
      <c r="A33" t="s">
        <v>49</v>
      </c>
      <c r="B33" s="12">
        <v>58180</v>
      </c>
      <c r="C33" s="12">
        <v>57172</v>
      </c>
      <c r="D33" s="63">
        <f t="shared" si="2"/>
        <v>33.89284964668019</v>
      </c>
      <c r="E33" s="12">
        <v>1937722</v>
      </c>
      <c r="F33" s="12">
        <v>11391000</v>
      </c>
      <c r="G33" s="51">
        <v>4.7699999999999996</v>
      </c>
    </row>
    <row r="34" spans="1:7">
      <c r="A34" t="s">
        <v>50</v>
      </c>
      <c r="B34" s="12">
        <v>58840</v>
      </c>
      <c r="C34" s="12">
        <v>57373</v>
      </c>
      <c r="D34" s="63">
        <f t="shared" si="2"/>
        <v>26.995991145660852</v>
      </c>
      <c r="E34" s="12">
        <v>1548841</v>
      </c>
      <c r="F34" s="12">
        <v>11487742</v>
      </c>
      <c r="G34" s="51">
        <v>4.7699999999999996</v>
      </c>
    </row>
    <row r="35" spans="1:7">
      <c r="A35" t="s">
        <v>51</v>
      </c>
      <c r="B35" s="12">
        <v>60820</v>
      </c>
      <c r="C35" s="12">
        <v>59538</v>
      </c>
      <c r="D35" s="63">
        <f t="shared" si="2"/>
        <v>32.309886123148239</v>
      </c>
      <c r="E35" s="12">
        <v>1923666</v>
      </c>
      <c r="F35" s="12">
        <v>10916145</v>
      </c>
      <c r="G35" s="51">
        <v>4.53</v>
      </c>
    </row>
    <row r="36" spans="1:7">
      <c r="A36" t="s">
        <v>52</v>
      </c>
      <c r="B36" s="12">
        <v>57795</v>
      </c>
      <c r="C36" s="12">
        <v>56512</v>
      </c>
      <c r="D36" s="63">
        <f t="shared" ref="D36:D47" si="3">+E36/C36</f>
        <v>34.080319224235559</v>
      </c>
      <c r="E36" s="12">
        <v>1925947</v>
      </c>
      <c r="F36" s="12">
        <v>11042010</v>
      </c>
      <c r="G36" s="51">
        <v>4.5</v>
      </c>
    </row>
    <row r="37" spans="1:7">
      <c r="A37" t="s">
        <v>53</v>
      </c>
      <c r="B37" s="12">
        <v>59180</v>
      </c>
      <c r="C37" s="12">
        <v>58011</v>
      </c>
      <c r="D37" s="63">
        <f t="shared" si="3"/>
        <v>34.244177828342899</v>
      </c>
      <c r="E37" s="12">
        <v>1986539</v>
      </c>
      <c r="F37" s="12">
        <v>11091996</v>
      </c>
      <c r="G37" s="51">
        <v>4.92</v>
      </c>
    </row>
    <row r="38" spans="1:7">
      <c r="A38" t="s">
        <v>54</v>
      </c>
      <c r="B38" s="12">
        <v>59180</v>
      </c>
      <c r="C38" s="12">
        <v>58233</v>
      </c>
      <c r="D38" s="63">
        <f t="shared" si="3"/>
        <v>37.613621142651077</v>
      </c>
      <c r="E38" s="12">
        <v>2190354</v>
      </c>
      <c r="F38" s="12">
        <v>12167564</v>
      </c>
      <c r="G38" s="51">
        <v>4.92</v>
      </c>
    </row>
    <row r="39" spans="1:7">
      <c r="A39" t="s">
        <v>55</v>
      </c>
      <c r="B39" s="12">
        <v>60085</v>
      </c>
      <c r="C39" s="12">
        <v>57307</v>
      </c>
      <c r="D39" s="63">
        <f t="shared" si="3"/>
        <v>32.626345821627375</v>
      </c>
      <c r="E39" s="12">
        <v>1869718</v>
      </c>
      <c r="F39" s="12">
        <v>12167564</v>
      </c>
      <c r="G39" s="51">
        <v>4.92</v>
      </c>
    </row>
    <row r="40" spans="1:7">
      <c r="A40" t="s">
        <v>56</v>
      </c>
      <c r="B40" s="12">
        <v>61620</v>
      </c>
      <c r="C40" s="12">
        <v>60809</v>
      </c>
      <c r="D40" s="63">
        <f t="shared" si="3"/>
        <v>41.35685507079544</v>
      </c>
      <c r="E40" s="12">
        <v>2514869</v>
      </c>
      <c r="F40" s="12">
        <v>13756328</v>
      </c>
      <c r="G40" s="51">
        <v>4.92</v>
      </c>
    </row>
    <row r="41" spans="1:7">
      <c r="A41" t="s">
        <v>57</v>
      </c>
      <c r="B41" s="12">
        <v>62495</v>
      </c>
      <c r="C41" s="12">
        <v>61544</v>
      </c>
      <c r="D41" s="63">
        <f t="shared" si="3"/>
        <v>35.328447939685425</v>
      </c>
      <c r="E41" s="12">
        <v>2174254</v>
      </c>
      <c r="F41" s="12">
        <v>14616758</v>
      </c>
      <c r="G41" s="51">
        <v>4.92</v>
      </c>
    </row>
    <row r="42" spans="1:7">
      <c r="A42" t="s">
        <v>58</v>
      </c>
      <c r="B42" s="12">
        <v>64195</v>
      </c>
      <c r="C42" s="12">
        <v>63349</v>
      </c>
      <c r="D42" s="63">
        <f t="shared" si="3"/>
        <v>37.573979068335724</v>
      </c>
      <c r="E42" s="12">
        <v>2380274</v>
      </c>
      <c r="F42" s="12">
        <v>17439971</v>
      </c>
      <c r="G42" s="51">
        <v>4.97</v>
      </c>
    </row>
    <row r="43" spans="1:7">
      <c r="A43" t="s">
        <v>59</v>
      </c>
      <c r="B43" s="12">
        <v>70005</v>
      </c>
      <c r="C43" s="12">
        <v>69110</v>
      </c>
      <c r="D43" s="63">
        <f t="shared" si="3"/>
        <v>38.905368253508897</v>
      </c>
      <c r="E43" s="12">
        <v>2688750</v>
      </c>
      <c r="F43" s="12">
        <v>17372628</v>
      </c>
      <c r="G43" s="51">
        <v>5.26</v>
      </c>
    </row>
    <row r="44" spans="1:7">
      <c r="A44" s="45" t="s">
        <v>272</v>
      </c>
      <c r="B44" s="12">
        <v>72025</v>
      </c>
      <c r="C44" s="12">
        <v>70441</v>
      </c>
      <c r="D44" s="63">
        <f t="shared" si="3"/>
        <v>38.912196022202977</v>
      </c>
      <c r="E44" s="12">
        <v>2741014</v>
      </c>
      <c r="F44" s="12">
        <v>13493831</v>
      </c>
      <c r="G44" s="51">
        <v>5.26</v>
      </c>
    </row>
    <row r="45" spans="1:7">
      <c r="A45" s="45" t="s">
        <v>123</v>
      </c>
      <c r="B45" s="12">
        <v>73730</v>
      </c>
      <c r="C45" s="12">
        <v>72446</v>
      </c>
      <c r="D45" s="63">
        <f t="shared" si="3"/>
        <v>36.630842282527674</v>
      </c>
      <c r="E45" s="12">
        <v>2653758</v>
      </c>
      <c r="F45" s="12">
        <v>12205532</v>
      </c>
      <c r="G45" s="51">
        <v>5.26</v>
      </c>
    </row>
    <row r="46" spans="1:7">
      <c r="A46" s="62">
        <v>2000</v>
      </c>
      <c r="B46" s="52">
        <v>74266</v>
      </c>
      <c r="C46" s="52">
        <v>72408</v>
      </c>
      <c r="D46" s="63">
        <f t="shared" si="3"/>
        <v>38.087089824328807</v>
      </c>
      <c r="E46" s="52">
        <v>2757810</v>
      </c>
      <c r="F46" s="52">
        <v>12466572</v>
      </c>
      <c r="G46" s="64">
        <v>5.26</v>
      </c>
    </row>
    <row r="47" spans="1:7">
      <c r="A47" s="62">
        <v>2001</v>
      </c>
      <c r="B47" s="52">
        <v>74075</v>
      </c>
      <c r="C47" s="52">
        <v>72975</v>
      </c>
      <c r="D47" s="63">
        <f t="shared" si="3"/>
        <v>39.61194929770469</v>
      </c>
      <c r="E47" s="52">
        <v>2890682</v>
      </c>
      <c r="F47" s="52">
        <v>12605717</v>
      </c>
      <c r="G47" s="64">
        <v>5.26</v>
      </c>
    </row>
    <row r="48" spans="1:7">
      <c r="A48" s="62">
        <v>2002</v>
      </c>
      <c r="B48" s="52">
        <v>73963</v>
      </c>
      <c r="C48" s="52">
        <v>72497</v>
      </c>
      <c r="D48" s="63">
        <f t="shared" ref="D48:D53" si="4">+E48/C48</f>
        <v>38.017393823192684</v>
      </c>
      <c r="E48" s="52">
        <v>2756147</v>
      </c>
      <c r="F48" s="52">
        <v>15252691</v>
      </c>
      <c r="G48" s="64">
        <v>5</v>
      </c>
    </row>
    <row r="49" spans="1:7">
      <c r="A49" s="62">
        <v>2003</v>
      </c>
      <c r="B49" s="52">
        <v>73404</v>
      </c>
      <c r="C49" s="52">
        <v>72476</v>
      </c>
      <c r="D49" s="63">
        <f t="shared" si="4"/>
        <v>33.857345880015451</v>
      </c>
      <c r="E49" s="52">
        <v>2453845</v>
      </c>
      <c r="F49" s="52">
        <v>18015097</v>
      </c>
      <c r="G49" s="64">
        <v>5</v>
      </c>
    </row>
    <row r="50" spans="1:7">
      <c r="A50" s="62">
        <v>2004</v>
      </c>
      <c r="B50" s="52">
        <v>75208</v>
      </c>
      <c r="C50" s="52">
        <v>73958</v>
      </c>
      <c r="D50" s="63">
        <f t="shared" si="4"/>
        <v>42.237350928905592</v>
      </c>
      <c r="E50" s="52">
        <v>3123790</v>
      </c>
      <c r="F50" s="52">
        <v>17895510</v>
      </c>
      <c r="G50" s="64">
        <v>5</v>
      </c>
    </row>
    <row r="51" spans="1:7">
      <c r="A51" s="62">
        <v>2005</v>
      </c>
      <c r="B51" s="52">
        <v>72032</v>
      </c>
      <c r="C51" s="52">
        <v>71251</v>
      </c>
      <c r="D51" s="63">
        <f t="shared" si="4"/>
        <v>43.06384471796887</v>
      </c>
      <c r="E51" s="52">
        <v>3068342</v>
      </c>
      <c r="F51" s="52">
        <v>17297137</v>
      </c>
      <c r="G51" s="64">
        <v>5</v>
      </c>
    </row>
    <row r="52" spans="1:7">
      <c r="A52" s="62">
        <v>2006</v>
      </c>
      <c r="B52" s="52">
        <v>75522</v>
      </c>
      <c r="C52" s="52">
        <v>74602</v>
      </c>
      <c r="D52" s="63">
        <f t="shared" si="4"/>
        <v>42.850406155330958</v>
      </c>
      <c r="E52" s="52">
        <v>3196726</v>
      </c>
      <c r="F52" s="52">
        <v>20468267</v>
      </c>
      <c r="G52" s="64">
        <v>5</v>
      </c>
    </row>
    <row r="53" spans="1:7">
      <c r="A53" s="62">
        <v>2007</v>
      </c>
      <c r="B53" s="52">
        <v>64741</v>
      </c>
      <c r="C53" s="52">
        <v>64146</v>
      </c>
      <c r="D53" s="63">
        <f t="shared" si="4"/>
        <v>41.734745736289092</v>
      </c>
      <c r="E53" s="52">
        <v>2677117</v>
      </c>
      <c r="F53" s="52">
        <v>26974406</v>
      </c>
      <c r="G53" s="64">
        <v>5</v>
      </c>
    </row>
    <row r="54" spans="1:7">
      <c r="A54" s="62">
        <v>2008</v>
      </c>
      <c r="B54" s="52">
        <v>75718</v>
      </c>
      <c r="C54" s="52">
        <v>74681</v>
      </c>
      <c r="D54" s="63">
        <f>+E54/C54</f>
        <v>39.729074329481392</v>
      </c>
      <c r="E54" s="52">
        <v>2967007</v>
      </c>
      <c r="F54" s="52">
        <v>29458225</v>
      </c>
      <c r="G54" s="64">
        <v>5</v>
      </c>
    </row>
    <row r="55" spans="1:7">
      <c r="A55" s="62">
        <v>2009</v>
      </c>
      <c r="B55" s="52">
        <v>77451</v>
      </c>
      <c r="C55" s="52">
        <v>76372</v>
      </c>
      <c r="D55" s="63">
        <f>+E55/C55</f>
        <v>44.007371811658722</v>
      </c>
      <c r="E55" s="52">
        <v>3360931</v>
      </c>
      <c r="F55" s="52">
        <v>32163204</v>
      </c>
      <c r="G55" s="64">
        <v>5</v>
      </c>
    </row>
    <row r="56" spans="1:7">
      <c r="A56" s="62">
        <v>2010</v>
      </c>
      <c r="B56" s="52">
        <v>77404</v>
      </c>
      <c r="C56" s="52">
        <v>76610</v>
      </c>
      <c r="D56" s="63">
        <f>+E56/C56</f>
        <v>43.483957707871035</v>
      </c>
      <c r="E56" s="52">
        <v>3331306</v>
      </c>
      <c r="F56" s="52">
        <v>37571277</v>
      </c>
      <c r="G56" s="64">
        <v>5</v>
      </c>
    </row>
    <row r="57" spans="1:7">
      <c r="A57" s="62">
        <v>2011</v>
      </c>
      <c r="B57" s="52">
        <v>75046</v>
      </c>
      <c r="C57" s="52">
        <v>73776</v>
      </c>
      <c r="D57" s="63">
        <f t="shared" ref="D57:D62" si="5">+E57/C57</f>
        <v>41.980847430058553</v>
      </c>
      <c r="E57" s="52">
        <v>3097179</v>
      </c>
      <c r="F57" s="52">
        <v>38542177</v>
      </c>
      <c r="G57" s="64">
        <v>5</v>
      </c>
    </row>
    <row r="58" spans="1:7">
      <c r="A58" s="62">
        <v>2012</v>
      </c>
      <c r="B58" s="52">
        <v>77198</v>
      </c>
      <c r="C58" s="52">
        <v>76144</v>
      </c>
      <c r="D58" s="63">
        <f t="shared" si="5"/>
        <v>39.951197730615675</v>
      </c>
      <c r="E58" s="52">
        <v>3042044</v>
      </c>
      <c r="F58" s="52">
        <v>43723144</v>
      </c>
      <c r="G58" s="64">
        <v>5</v>
      </c>
    </row>
    <row r="59" spans="1:7">
      <c r="A59" s="62">
        <v>2013</v>
      </c>
      <c r="B59" s="52">
        <v>76820</v>
      </c>
      <c r="C59" s="52">
        <v>76233</v>
      </c>
      <c r="D59" s="63">
        <f t="shared" si="5"/>
        <v>44.036099851770231</v>
      </c>
      <c r="E59" s="52">
        <v>3357004</v>
      </c>
      <c r="F59" s="52">
        <v>43582901</v>
      </c>
      <c r="G59" s="64">
        <v>5</v>
      </c>
    </row>
    <row r="60" spans="1:7">
      <c r="A60" s="62">
        <v>2014</v>
      </c>
      <c r="B60" s="52">
        <v>83296</v>
      </c>
      <c r="C60" s="52">
        <v>82611</v>
      </c>
      <c r="D60" s="63">
        <f t="shared" si="5"/>
        <v>47.548994685937707</v>
      </c>
      <c r="E60" s="52">
        <v>3928070</v>
      </c>
      <c r="F60" s="92">
        <v>39474861</v>
      </c>
      <c r="G60" s="64">
        <v>5</v>
      </c>
    </row>
    <row r="61" spans="1:7">
      <c r="A61" s="62">
        <v>2015</v>
      </c>
      <c r="B61" s="52">
        <v>82660</v>
      </c>
      <c r="C61" s="52">
        <v>81742</v>
      </c>
      <c r="D61" s="63">
        <f t="shared" si="5"/>
        <v>48.038694918157127</v>
      </c>
      <c r="E61" s="52">
        <v>3926779</v>
      </c>
      <c r="F61" s="92">
        <v>35140734</v>
      </c>
      <c r="G61" s="64">
        <v>5</v>
      </c>
    </row>
    <row r="62" spans="1:7">
      <c r="A62" s="62">
        <v>2016</v>
      </c>
      <c r="B62" s="52">
        <v>83453</v>
      </c>
      <c r="C62" s="52">
        <v>82706</v>
      </c>
      <c r="D62" s="63">
        <f t="shared" si="5"/>
        <v>51.949024254588544</v>
      </c>
      <c r="E62" s="52">
        <v>4296496</v>
      </c>
      <c r="F62" s="92">
        <v>40683934</v>
      </c>
      <c r="G62" s="64">
        <v>5</v>
      </c>
    </row>
    <row r="63" spans="1:7">
      <c r="A63" s="115">
        <v>2017</v>
      </c>
      <c r="B63" s="52">
        <v>90162</v>
      </c>
      <c r="C63" s="92">
        <v>89542</v>
      </c>
      <c r="D63" s="63">
        <f>+E63/C63</f>
        <v>49.268868240602174</v>
      </c>
      <c r="E63" s="92">
        <v>4411633</v>
      </c>
      <c r="F63" s="92">
        <v>40841443</v>
      </c>
      <c r="G63" s="64">
        <v>5</v>
      </c>
    </row>
    <row r="64" spans="1:7">
      <c r="A64" s="118">
        <v>2018</v>
      </c>
      <c r="B64" s="13">
        <v>89196</v>
      </c>
      <c r="C64" s="240">
        <v>88110</v>
      </c>
      <c r="D64" s="14">
        <f>+E64/C64</f>
        <v>51.570570877312448</v>
      </c>
      <c r="E64" s="240">
        <v>4543883</v>
      </c>
      <c r="F64" s="240">
        <f>E64*8.6</f>
        <v>39077393.799999997</v>
      </c>
      <c r="G64" s="56">
        <v>5</v>
      </c>
    </row>
    <row r="65" spans="1:7" ht="13.2" customHeight="1">
      <c r="A65" s="107" t="s">
        <v>60</v>
      </c>
    </row>
    <row r="66" spans="1:7">
      <c r="A66" s="107" t="s">
        <v>468</v>
      </c>
    </row>
    <row r="67" spans="1:7">
      <c r="A67" s="107" t="s">
        <v>469</v>
      </c>
    </row>
    <row r="68" spans="1:7" ht="13.2" customHeight="1">
      <c r="A68" s="107" t="s">
        <v>511</v>
      </c>
    </row>
    <row r="69" spans="1:7" ht="10.199999999999999" customHeight="1">
      <c r="A69" s="144" t="s">
        <v>512</v>
      </c>
    </row>
    <row r="70" spans="1:7">
      <c r="G70" s="270" t="s">
        <v>679</v>
      </c>
    </row>
    <row r="71" spans="1:7">
      <c r="A71" s="144"/>
    </row>
  </sheetData>
  <phoneticPr fontId="0" type="noConversion"/>
  <pageMargins left="0.7" right="0.7" top="0.75" bottom="0.75" header="0.3" footer="0.3"/>
  <pageSetup scale="12" firstPageNumber="29" orientation="portrait" useFirstPageNumber="1" r:id="rId1"/>
  <headerFooter alignWithMargins="0">
    <oddFooter>&amp;C&amp;P
Oil Crops Yearbook/OCS-2018
March 2018
Economic Research Service, USDA</oddFooter>
  </headerFooter>
  <rowBreaks count="1" manualBreakCount="1">
    <brk id="68" max="16383" man="1"/>
  </rowBreaks>
  <ignoredErrors>
    <ignoredError sqref="A6:A15 A16:A25 A26:A35 A36:A45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L49"/>
  <sheetViews>
    <sheetView zoomScaleNormal="100" zoomScaleSheetLayoutView="100" workbookViewId="0">
      <selection activeCell="A105" sqref="A105"/>
    </sheetView>
  </sheetViews>
  <sheetFormatPr defaultRowHeight="10.199999999999999"/>
  <cols>
    <col min="1" max="10" width="11.7109375" customWidth="1"/>
  </cols>
  <sheetData>
    <row r="1" spans="1:10">
      <c r="A1" s="136" t="s">
        <v>646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107</v>
      </c>
      <c r="B2" s="283"/>
      <c r="C2" s="296" t="s">
        <v>119</v>
      </c>
      <c r="D2" s="271"/>
      <c r="E2" s="382"/>
      <c r="F2" s="3"/>
      <c r="G2" s="271" t="s">
        <v>117</v>
      </c>
      <c r="H2" s="382"/>
      <c r="J2" s="9" t="s">
        <v>118</v>
      </c>
    </row>
    <row r="3" spans="1:10">
      <c r="A3" t="s">
        <v>100</v>
      </c>
      <c r="B3" s="7" t="s">
        <v>141</v>
      </c>
      <c r="E3" s="389"/>
      <c r="H3" s="389"/>
      <c r="I3" s="7" t="s">
        <v>143</v>
      </c>
      <c r="J3" s="7" t="s">
        <v>169</v>
      </c>
    </row>
    <row r="4" spans="1:10">
      <c r="A4" s="1" t="s">
        <v>163</v>
      </c>
      <c r="B4" s="9" t="s">
        <v>110</v>
      </c>
      <c r="C4" s="11" t="s">
        <v>66</v>
      </c>
      <c r="D4" s="9" t="s">
        <v>88</v>
      </c>
      <c r="E4" s="401" t="s">
        <v>3</v>
      </c>
      <c r="F4" s="175" t="s">
        <v>142</v>
      </c>
      <c r="G4" s="175" t="s">
        <v>164</v>
      </c>
      <c r="H4" s="401" t="s">
        <v>3</v>
      </c>
      <c r="I4" s="9" t="s">
        <v>110</v>
      </c>
      <c r="J4" s="9" t="s">
        <v>170</v>
      </c>
    </row>
    <row r="5" spans="1:10">
      <c r="C5" s="277"/>
      <c r="D5" s="305" t="s">
        <v>171</v>
      </c>
      <c r="F5" s="277"/>
      <c r="G5" s="277"/>
      <c r="H5" s="277"/>
      <c r="I5" s="277"/>
      <c r="J5" s="7" t="s">
        <v>287</v>
      </c>
    </row>
    <row r="6" spans="1:10">
      <c r="B6" s="35"/>
      <c r="C6" s="35"/>
      <c r="D6" s="35"/>
      <c r="E6" s="35"/>
      <c r="F6" s="35"/>
      <c r="G6" s="35"/>
      <c r="H6" s="35"/>
      <c r="I6" s="35"/>
      <c r="J6" s="7"/>
    </row>
    <row r="7" spans="1:10">
      <c r="A7" s="10" t="s">
        <v>273</v>
      </c>
      <c r="B7" s="12">
        <v>7</v>
      </c>
      <c r="C7" s="12">
        <v>214.68600000000004</v>
      </c>
      <c r="D7" s="12">
        <v>2</v>
      </c>
      <c r="E7" s="12">
        <f t="shared" ref="E7:E26" si="0">SUM(B7:D7)</f>
        <v>223.68600000000004</v>
      </c>
      <c r="F7" s="12">
        <f t="shared" ref="F7:F15" si="1">+H7-G7</f>
        <v>88.052286747000011</v>
      </c>
      <c r="G7" s="12">
        <v>133.63371325300002</v>
      </c>
      <c r="H7" s="12">
        <f t="shared" ref="H7:H43" si="2">+E7-I7</f>
        <v>221.68600000000004</v>
      </c>
      <c r="I7" s="12">
        <v>2</v>
      </c>
      <c r="J7" s="33">
        <v>162.80000000000001</v>
      </c>
    </row>
    <row r="8" spans="1:10">
      <c r="A8" s="10" t="s">
        <v>274</v>
      </c>
      <c r="B8" s="12">
        <f>I7</f>
        <v>2</v>
      </c>
      <c r="C8" s="12">
        <v>202.15800000000002</v>
      </c>
      <c r="D8" s="12">
        <v>2</v>
      </c>
      <c r="E8" s="12">
        <f t="shared" si="0"/>
        <v>206.15800000000002</v>
      </c>
      <c r="F8" s="12">
        <f t="shared" si="1"/>
        <v>53.16364877700002</v>
      </c>
      <c r="G8" s="12">
        <v>150.994351223</v>
      </c>
      <c r="H8" s="12">
        <f t="shared" si="2"/>
        <v>204.15800000000002</v>
      </c>
      <c r="I8" s="12">
        <v>2</v>
      </c>
      <c r="J8" s="33">
        <v>151.02000000000001</v>
      </c>
    </row>
    <row r="9" spans="1:10">
      <c r="A9" s="10" t="s">
        <v>275</v>
      </c>
      <c r="B9" s="12">
        <f t="shared" ref="B9:B32" si="3">I8</f>
        <v>2</v>
      </c>
      <c r="C9" s="12">
        <v>156.99600000000001</v>
      </c>
      <c r="D9" s="12">
        <v>2</v>
      </c>
      <c r="E9" s="12">
        <f t="shared" si="0"/>
        <v>160.99600000000001</v>
      </c>
      <c r="F9" s="12">
        <f t="shared" si="1"/>
        <v>79.887889768000008</v>
      </c>
      <c r="G9" s="12">
        <v>79.108110232000001</v>
      </c>
      <c r="H9" s="12">
        <f t="shared" si="2"/>
        <v>158.99600000000001</v>
      </c>
      <c r="I9" s="12">
        <v>2</v>
      </c>
      <c r="J9" s="33">
        <v>143.4</v>
      </c>
    </row>
    <row r="10" spans="1:10">
      <c r="A10" s="10" t="s">
        <v>276</v>
      </c>
      <c r="B10" s="12">
        <f t="shared" si="3"/>
        <v>2</v>
      </c>
      <c r="C10" s="12">
        <v>229.19400000000002</v>
      </c>
      <c r="D10" s="12">
        <v>2</v>
      </c>
      <c r="E10" s="12">
        <f t="shared" si="0"/>
        <v>233.19400000000002</v>
      </c>
      <c r="F10" s="12">
        <f t="shared" si="1"/>
        <v>105.66630856600003</v>
      </c>
      <c r="G10" s="12">
        <v>124.52769143399999</v>
      </c>
      <c r="H10" s="12">
        <f t="shared" si="2"/>
        <v>230.19400000000002</v>
      </c>
      <c r="I10" s="12">
        <v>3</v>
      </c>
      <c r="J10" s="33">
        <v>155.28</v>
      </c>
    </row>
    <row r="11" spans="1:10">
      <c r="A11" s="10" t="s">
        <v>277</v>
      </c>
      <c r="B11" s="12">
        <f t="shared" si="3"/>
        <v>3</v>
      </c>
      <c r="C11" s="12">
        <v>178.83</v>
      </c>
      <c r="D11" s="12">
        <v>1</v>
      </c>
      <c r="E11" s="12">
        <f t="shared" si="0"/>
        <v>182.83</v>
      </c>
      <c r="F11" s="12">
        <f t="shared" si="1"/>
        <v>119.499695249</v>
      </c>
      <c r="G11" s="12">
        <v>60.330304751000014</v>
      </c>
      <c r="H11" s="12">
        <f t="shared" si="2"/>
        <v>179.83</v>
      </c>
      <c r="I11" s="12">
        <v>3</v>
      </c>
      <c r="J11" s="33">
        <v>98.99</v>
      </c>
    </row>
    <row r="12" spans="1:10">
      <c r="A12" s="10" t="s">
        <v>278</v>
      </c>
      <c r="B12" s="12">
        <f t="shared" si="3"/>
        <v>3</v>
      </c>
      <c r="C12" s="12">
        <v>183.57140000000001</v>
      </c>
      <c r="D12" s="12">
        <v>3</v>
      </c>
      <c r="E12" s="12">
        <f t="shared" si="0"/>
        <v>189.57140000000001</v>
      </c>
      <c r="F12" s="12">
        <f t="shared" si="1"/>
        <v>109.86740000000002</v>
      </c>
      <c r="G12" s="12">
        <v>74.703999999999994</v>
      </c>
      <c r="H12" s="12">
        <f t="shared" si="2"/>
        <v>184.57140000000001</v>
      </c>
      <c r="I12" s="12">
        <v>5</v>
      </c>
      <c r="J12" s="33">
        <v>102.62</v>
      </c>
    </row>
    <row r="13" spans="1:10">
      <c r="A13" s="10" t="s">
        <v>279</v>
      </c>
      <c r="B13" s="12">
        <f t="shared" si="3"/>
        <v>5</v>
      </c>
      <c r="C13" s="12">
        <v>180</v>
      </c>
      <c r="D13" s="12">
        <v>2</v>
      </c>
      <c r="E13" s="12">
        <f t="shared" si="0"/>
        <v>187</v>
      </c>
      <c r="F13" s="12">
        <f t="shared" si="1"/>
        <v>122.328</v>
      </c>
      <c r="G13" s="12">
        <v>62.671999999999997</v>
      </c>
      <c r="H13" s="12">
        <f t="shared" si="2"/>
        <v>185</v>
      </c>
      <c r="I13" s="12">
        <v>2</v>
      </c>
      <c r="J13" s="33">
        <v>111.98</v>
      </c>
    </row>
    <row r="14" spans="1:10">
      <c r="A14" s="10" t="s">
        <v>280</v>
      </c>
      <c r="B14" s="12">
        <f t="shared" si="3"/>
        <v>2</v>
      </c>
      <c r="C14" s="12">
        <v>194.4</v>
      </c>
      <c r="D14" s="12">
        <v>2</v>
      </c>
      <c r="E14" s="12">
        <f t="shared" si="0"/>
        <v>198.4</v>
      </c>
      <c r="F14" s="12">
        <f t="shared" si="1"/>
        <v>136.01300000000001</v>
      </c>
      <c r="G14" s="12">
        <v>59.387000000000008</v>
      </c>
      <c r="H14" s="12">
        <f t="shared" si="2"/>
        <v>195.4</v>
      </c>
      <c r="I14" s="12">
        <v>3</v>
      </c>
      <c r="J14" s="33">
        <v>130.24</v>
      </c>
    </row>
    <row r="15" spans="1:10">
      <c r="A15" s="10" t="s">
        <v>281</v>
      </c>
      <c r="B15" s="12">
        <f t="shared" si="3"/>
        <v>3</v>
      </c>
      <c r="C15" s="12">
        <v>153</v>
      </c>
      <c r="D15" s="12">
        <v>11</v>
      </c>
      <c r="E15" s="12">
        <f t="shared" si="0"/>
        <v>167</v>
      </c>
      <c r="F15" s="12">
        <f t="shared" si="1"/>
        <v>99.063511748005993</v>
      </c>
      <c r="G15" s="12">
        <v>62.936488251994</v>
      </c>
      <c r="H15" s="12">
        <f t="shared" si="2"/>
        <v>162</v>
      </c>
      <c r="I15" s="12">
        <v>5</v>
      </c>
      <c r="J15" s="33">
        <v>178.43</v>
      </c>
    </row>
    <row r="16" spans="1:10">
      <c r="A16" s="10" t="s">
        <v>9</v>
      </c>
      <c r="B16" s="12">
        <f t="shared" si="3"/>
        <v>5</v>
      </c>
      <c r="C16" s="12">
        <v>148.5</v>
      </c>
      <c r="D16" s="12">
        <v>9</v>
      </c>
      <c r="E16" s="12">
        <f t="shared" si="0"/>
        <v>162.5</v>
      </c>
      <c r="F16" s="12">
        <f t="shared" ref="F16:F31" si="4">+H16-G16</f>
        <v>134.027795216448</v>
      </c>
      <c r="G16" s="12">
        <v>23.472204783552002</v>
      </c>
      <c r="H16" s="12">
        <f t="shared" si="2"/>
        <v>157.5</v>
      </c>
      <c r="I16" s="12">
        <v>5</v>
      </c>
      <c r="J16" s="33">
        <v>139.27000000000001</v>
      </c>
    </row>
    <row r="17" spans="1:10">
      <c r="A17" s="10" t="s">
        <v>10</v>
      </c>
      <c r="B17" s="12">
        <f t="shared" si="3"/>
        <v>5</v>
      </c>
      <c r="C17" s="12">
        <v>158.4</v>
      </c>
      <c r="D17" s="12">
        <v>2.8740267900000003</v>
      </c>
      <c r="E17" s="12">
        <f t="shared" si="0"/>
        <v>166.27402678999999</v>
      </c>
      <c r="F17" s="12">
        <f t="shared" si="4"/>
        <v>120.37210141835698</v>
      </c>
      <c r="G17" s="12">
        <v>40.90192537164301</v>
      </c>
      <c r="H17" s="12">
        <f t="shared" si="2"/>
        <v>161.27402678999999</v>
      </c>
      <c r="I17" s="12">
        <v>5</v>
      </c>
      <c r="J17" s="33">
        <v>130.06</v>
      </c>
    </row>
    <row r="18" spans="1:10">
      <c r="A18" s="10" t="s">
        <v>11</v>
      </c>
      <c r="B18" s="12">
        <f t="shared" si="3"/>
        <v>5</v>
      </c>
      <c r="C18" s="12">
        <v>162.9</v>
      </c>
      <c r="D18" s="12">
        <v>0.135351417</v>
      </c>
      <c r="E18" s="12">
        <f t="shared" si="0"/>
        <v>168.03535141700002</v>
      </c>
      <c r="F18" s="12">
        <f t="shared" si="4"/>
        <v>123.40859374020002</v>
      </c>
      <c r="G18" s="12">
        <v>39.626757676800004</v>
      </c>
      <c r="H18" s="12">
        <f t="shared" si="2"/>
        <v>163.03535141700002</v>
      </c>
      <c r="I18" s="12">
        <v>5</v>
      </c>
      <c r="J18" s="33">
        <v>127.57</v>
      </c>
    </row>
    <row r="19" spans="1:10">
      <c r="A19" s="10" t="s">
        <v>12</v>
      </c>
      <c r="B19" s="12">
        <f t="shared" si="3"/>
        <v>5</v>
      </c>
      <c r="C19" s="12">
        <v>154.80000000000001</v>
      </c>
      <c r="D19" s="12">
        <v>0.15452041399999999</v>
      </c>
      <c r="E19" s="12">
        <f t="shared" si="0"/>
        <v>159.954520414</v>
      </c>
      <c r="F19" s="12">
        <f t="shared" si="4"/>
        <v>101.83005603401298</v>
      </c>
      <c r="G19" s="12">
        <v>53.12446437998701</v>
      </c>
      <c r="H19" s="12">
        <f t="shared" si="2"/>
        <v>154.954520414</v>
      </c>
      <c r="I19" s="12">
        <v>5</v>
      </c>
      <c r="J19" s="33">
        <v>133.6</v>
      </c>
    </row>
    <row r="20" spans="1:10">
      <c r="A20" s="10" t="s">
        <v>13</v>
      </c>
      <c r="B20" s="12">
        <f t="shared" si="3"/>
        <v>5</v>
      </c>
      <c r="C20" s="12">
        <v>155.69999999999999</v>
      </c>
      <c r="D20" s="12">
        <v>2.3151474624000001</v>
      </c>
      <c r="E20" s="12">
        <f t="shared" si="0"/>
        <v>163.01514746239999</v>
      </c>
      <c r="F20" s="12">
        <f t="shared" si="4"/>
        <v>108.81183148778999</v>
      </c>
      <c r="G20" s="12">
        <v>49.20331597461</v>
      </c>
      <c r="H20" s="12">
        <f t="shared" si="2"/>
        <v>158.01514746239999</v>
      </c>
      <c r="I20" s="12">
        <v>5</v>
      </c>
      <c r="J20" s="33">
        <v>139.54</v>
      </c>
    </row>
    <row r="21" spans="1:10">
      <c r="A21" s="10" t="s">
        <v>14</v>
      </c>
      <c r="B21" s="12">
        <f t="shared" si="3"/>
        <v>5</v>
      </c>
      <c r="C21" s="12">
        <v>153.9</v>
      </c>
      <c r="D21" s="12">
        <v>4.8764682768999998</v>
      </c>
      <c r="E21" s="12">
        <f t="shared" si="0"/>
        <v>163.7764682769</v>
      </c>
      <c r="F21" s="12">
        <f t="shared" si="4"/>
        <v>101.18253403311701</v>
      </c>
      <c r="G21" s="12">
        <v>57.593934243783004</v>
      </c>
      <c r="H21" s="12">
        <f t="shared" si="2"/>
        <v>158.7764682769</v>
      </c>
      <c r="I21" s="12">
        <v>5</v>
      </c>
      <c r="J21" s="33">
        <v>101.34</v>
      </c>
    </row>
    <row r="22" spans="1:10">
      <c r="A22" s="10" t="s">
        <v>15</v>
      </c>
      <c r="B22" s="12">
        <f t="shared" si="3"/>
        <v>5</v>
      </c>
      <c r="C22" s="12">
        <v>162</v>
      </c>
      <c r="D22" s="12">
        <v>2.0122034556999999</v>
      </c>
      <c r="E22" s="12">
        <f t="shared" si="0"/>
        <v>169.01220345569999</v>
      </c>
      <c r="F22" s="12">
        <f t="shared" si="4"/>
        <v>129.34375088799999</v>
      </c>
      <c r="G22" s="12">
        <v>34.668452567700001</v>
      </c>
      <c r="H22" s="12">
        <f t="shared" si="2"/>
        <v>164.01220345569999</v>
      </c>
      <c r="I22" s="12">
        <v>5</v>
      </c>
      <c r="J22" s="33">
        <v>133.54</v>
      </c>
    </row>
    <row r="23" spans="1:10">
      <c r="A23" s="10" t="s">
        <v>16</v>
      </c>
      <c r="B23" s="12">
        <f t="shared" si="3"/>
        <v>5</v>
      </c>
      <c r="C23" s="12">
        <v>180</v>
      </c>
      <c r="D23" s="12">
        <v>12.621810091300004</v>
      </c>
      <c r="E23" s="12">
        <f t="shared" si="0"/>
        <v>197.62181009130001</v>
      </c>
      <c r="F23" s="12">
        <f t="shared" si="4"/>
        <v>149.02131826286802</v>
      </c>
      <c r="G23" s="12">
        <v>43.600491828431998</v>
      </c>
      <c r="H23" s="12">
        <f t="shared" si="2"/>
        <v>192.62181009130001</v>
      </c>
      <c r="I23" s="12">
        <v>5</v>
      </c>
      <c r="J23" s="33">
        <v>169.74</v>
      </c>
    </row>
    <row r="24" spans="1:10">
      <c r="A24" s="10" t="s">
        <v>17</v>
      </c>
      <c r="B24" s="12">
        <f t="shared" si="3"/>
        <v>5</v>
      </c>
      <c r="C24" s="12">
        <v>189</v>
      </c>
      <c r="D24" s="12">
        <v>14.625002244500001</v>
      </c>
      <c r="E24" s="12">
        <f t="shared" si="0"/>
        <v>208.6250022445</v>
      </c>
      <c r="F24" s="12">
        <f t="shared" si="4"/>
        <v>185.05004446144699</v>
      </c>
      <c r="G24" s="12">
        <v>18.574957783053005</v>
      </c>
      <c r="H24" s="12">
        <f t="shared" si="2"/>
        <v>203.6250022445</v>
      </c>
      <c r="I24" s="12">
        <v>5</v>
      </c>
      <c r="J24" s="33">
        <v>131.4</v>
      </c>
    </row>
    <row r="25" spans="1:10">
      <c r="A25" s="10" t="s">
        <v>18</v>
      </c>
      <c r="B25" s="12">
        <f t="shared" si="3"/>
        <v>5</v>
      </c>
      <c r="C25" s="12">
        <v>190.8</v>
      </c>
      <c r="D25" s="12">
        <v>3.9192386729999993</v>
      </c>
      <c r="E25" s="12">
        <f t="shared" si="0"/>
        <v>199.71923867300001</v>
      </c>
      <c r="F25" s="12">
        <f t="shared" si="4"/>
        <v>168.725372915805</v>
      </c>
      <c r="G25" s="12">
        <v>25.993865757195003</v>
      </c>
      <c r="H25" s="12">
        <f t="shared" si="2"/>
        <v>194.71923867300001</v>
      </c>
      <c r="I25" s="12">
        <v>5</v>
      </c>
      <c r="J25" s="33">
        <v>91.63</v>
      </c>
    </row>
    <row r="26" spans="1:10">
      <c r="A26" s="10" t="s">
        <v>19</v>
      </c>
      <c r="B26" s="12">
        <f t="shared" si="3"/>
        <v>5</v>
      </c>
      <c r="C26" s="12">
        <v>207</v>
      </c>
      <c r="D26" s="12">
        <v>0.89384294470000003</v>
      </c>
      <c r="E26" s="12">
        <f t="shared" si="0"/>
        <v>212.8938429447</v>
      </c>
      <c r="F26" s="12">
        <f t="shared" si="4"/>
        <v>188.928252598711</v>
      </c>
      <c r="G26" s="12">
        <v>18.965590345989</v>
      </c>
      <c r="H26" s="12">
        <f t="shared" si="2"/>
        <v>207.8938429447</v>
      </c>
      <c r="I26" s="12">
        <v>5</v>
      </c>
      <c r="J26" s="33">
        <v>93.77</v>
      </c>
    </row>
    <row r="27" spans="1:10">
      <c r="A27" s="62" t="s">
        <v>337</v>
      </c>
      <c r="B27" s="12">
        <f t="shared" si="3"/>
        <v>5</v>
      </c>
      <c r="C27" s="52">
        <v>216</v>
      </c>
      <c r="D27" s="52">
        <v>5.1819321414000008</v>
      </c>
      <c r="E27" s="52">
        <f t="shared" ref="E27:E32" si="5">SUM(B27:D27)</f>
        <v>226.18193214140001</v>
      </c>
      <c r="F27" s="52">
        <f t="shared" si="4"/>
        <v>196.371509678427</v>
      </c>
      <c r="G27" s="52">
        <v>24.810422462972998</v>
      </c>
      <c r="H27" s="52">
        <f t="shared" si="2"/>
        <v>221.18193214140001</v>
      </c>
      <c r="I27" s="52">
        <v>5</v>
      </c>
      <c r="J27" s="33">
        <v>116.23</v>
      </c>
    </row>
    <row r="28" spans="1:10">
      <c r="A28" s="62" t="s">
        <v>341</v>
      </c>
      <c r="B28" s="12">
        <f t="shared" si="3"/>
        <v>5</v>
      </c>
      <c r="C28" s="52">
        <v>180</v>
      </c>
      <c r="D28" s="52">
        <v>5.8428061857000007</v>
      </c>
      <c r="E28" s="52">
        <f t="shared" si="5"/>
        <v>190.8428061857</v>
      </c>
      <c r="F28" s="52">
        <f t="shared" si="4"/>
        <v>124.00643294937001</v>
      </c>
      <c r="G28" s="52">
        <v>61.836373236329997</v>
      </c>
      <c r="H28" s="52">
        <f t="shared" si="2"/>
        <v>185.8428061857</v>
      </c>
      <c r="I28" s="52">
        <v>5</v>
      </c>
      <c r="J28" s="33">
        <v>119.62</v>
      </c>
    </row>
    <row r="29" spans="1:10">
      <c r="A29" s="62" t="s">
        <v>353</v>
      </c>
      <c r="B29" s="12">
        <f t="shared" si="3"/>
        <v>5</v>
      </c>
      <c r="C29" s="52">
        <v>189</v>
      </c>
      <c r="D29" s="52">
        <v>19.420010551400001</v>
      </c>
      <c r="E29" s="52">
        <f t="shared" si="5"/>
        <v>213.4200105514</v>
      </c>
      <c r="F29" s="52">
        <f t="shared" si="4"/>
        <v>177.830018294198</v>
      </c>
      <c r="G29" s="52">
        <v>30.589992257201999</v>
      </c>
      <c r="H29" s="52">
        <f t="shared" si="2"/>
        <v>208.4200105514</v>
      </c>
      <c r="I29" s="52">
        <v>5</v>
      </c>
      <c r="J29" s="33">
        <v>122.89</v>
      </c>
    </row>
    <row r="30" spans="1:10">
      <c r="A30" s="62" t="s">
        <v>364</v>
      </c>
      <c r="B30" s="12">
        <f t="shared" si="3"/>
        <v>5</v>
      </c>
      <c r="C30" s="52">
        <v>203</v>
      </c>
      <c r="D30" s="52">
        <v>26.360366926400001</v>
      </c>
      <c r="E30" s="52">
        <f t="shared" si="5"/>
        <v>234.36036692639999</v>
      </c>
      <c r="F30" s="52">
        <f t="shared" si="4"/>
        <v>197.47139485213299</v>
      </c>
      <c r="G30" s="52">
        <v>31.888972074266999</v>
      </c>
      <c r="H30" s="52">
        <f t="shared" si="2"/>
        <v>229.36036692639999</v>
      </c>
      <c r="I30" s="52">
        <v>5</v>
      </c>
      <c r="J30" s="33">
        <v>158.9</v>
      </c>
    </row>
    <row r="31" spans="1:10">
      <c r="A31" s="62" t="s">
        <v>366</v>
      </c>
      <c r="B31" s="12">
        <f t="shared" si="3"/>
        <v>5</v>
      </c>
      <c r="C31" s="52">
        <v>245</v>
      </c>
      <c r="D31" s="52">
        <v>22.731319751399997</v>
      </c>
      <c r="E31" s="52">
        <f t="shared" si="5"/>
        <v>272.73131975140001</v>
      </c>
      <c r="F31" s="52">
        <f t="shared" si="4"/>
        <v>205.84969664851999</v>
      </c>
      <c r="G31" s="52">
        <v>61.881623102880013</v>
      </c>
      <c r="H31" s="52">
        <f t="shared" si="2"/>
        <v>267.73131975140001</v>
      </c>
      <c r="I31" s="52">
        <v>5</v>
      </c>
      <c r="J31" s="33">
        <v>114.24</v>
      </c>
    </row>
    <row r="32" spans="1:10">
      <c r="A32" s="62" t="s">
        <v>385</v>
      </c>
      <c r="B32" s="12">
        <f t="shared" si="3"/>
        <v>5</v>
      </c>
      <c r="C32" s="52">
        <v>295</v>
      </c>
      <c r="D32" s="52">
        <v>18.032295319300001</v>
      </c>
      <c r="E32" s="52">
        <f t="shared" si="5"/>
        <v>318.03229531929998</v>
      </c>
      <c r="F32" s="52">
        <f t="shared" ref="F32:F37" si="6">+H32-G32</f>
        <v>269.05767252360198</v>
      </c>
      <c r="G32" s="52">
        <v>43.974622795698011</v>
      </c>
      <c r="H32" s="52">
        <f t="shared" si="2"/>
        <v>313.03229531929998</v>
      </c>
      <c r="I32" s="52">
        <v>5</v>
      </c>
      <c r="J32" s="33">
        <v>124.69</v>
      </c>
    </row>
    <row r="33" spans="1:10">
      <c r="A33" s="62" t="s">
        <v>400</v>
      </c>
      <c r="B33" s="52">
        <f t="shared" ref="B33:B38" si="7">+I32</f>
        <v>5</v>
      </c>
      <c r="C33" s="52">
        <v>268</v>
      </c>
      <c r="D33" s="52">
        <v>17.0478984296</v>
      </c>
      <c r="E33" s="52">
        <f t="shared" ref="E33:E38" si="8">SUM(B33:D33)</f>
        <v>290.04789842960002</v>
      </c>
      <c r="F33" s="52">
        <f t="shared" si="6"/>
        <v>275.07927235993202</v>
      </c>
      <c r="G33" s="52">
        <v>9.9686260696679998</v>
      </c>
      <c r="H33" s="52">
        <f t="shared" si="2"/>
        <v>285.04789842960002</v>
      </c>
      <c r="I33" s="52">
        <v>5</v>
      </c>
      <c r="J33" s="33">
        <v>124.61</v>
      </c>
    </row>
    <row r="34" spans="1:10">
      <c r="A34" s="62" t="s">
        <v>404</v>
      </c>
      <c r="B34" s="52">
        <f t="shared" si="7"/>
        <v>5</v>
      </c>
      <c r="C34" s="52">
        <v>211</v>
      </c>
      <c r="D34" s="52">
        <v>9.0919070852000008</v>
      </c>
      <c r="E34" s="52">
        <f t="shared" si="8"/>
        <v>225.09190708520001</v>
      </c>
      <c r="F34" s="52">
        <f t="shared" si="6"/>
        <v>210.031678971432</v>
      </c>
      <c r="G34" s="52">
        <v>10.060228113768002</v>
      </c>
      <c r="H34" s="52">
        <f t="shared" si="2"/>
        <v>220.09190708520001</v>
      </c>
      <c r="I34" s="52">
        <v>5</v>
      </c>
      <c r="J34" s="33">
        <v>191.54</v>
      </c>
    </row>
    <row r="35" spans="1:10">
      <c r="A35" s="62" t="s">
        <v>411</v>
      </c>
      <c r="B35" s="52">
        <f t="shared" si="7"/>
        <v>5</v>
      </c>
      <c r="C35" s="52">
        <v>147</v>
      </c>
      <c r="D35" s="52">
        <v>10.299236433799999</v>
      </c>
      <c r="E35" s="52">
        <f t="shared" si="8"/>
        <v>162.29923643379999</v>
      </c>
      <c r="F35" s="52">
        <f t="shared" si="6"/>
        <v>129.61570648798698</v>
      </c>
      <c r="G35" s="52">
        <v>27.683529945813</v>
      </c>
      <c r="H35" s="52">
        <f t="shared" si="2"/>
        <v>157.29923643379999</v>
      </c>
      <c r="I35" s="52">
        <v>5</v>
      </c>
      <c r="J35" s="33">
        <v>227.66</v>
      </c>
    </row>
    <row r="36" spans="1:10">
      <c r="A36" s="115" t="s">
        <v>421</v>
      </c>
      <c r="B36" s="52">
        <f t="shared" si="7"/>
        <v>5</v>
      </c>
      <c r="C36" s="52">
        <v>216</v>
      </c>
      <c r="D36" s="52">
        <v>3.3788801900000003</v>
      </c>
      <c r="E36" s="52">
        <f t="shared" si="8"/>
        <v>224.37888018999999</v>
      </c>
      <c r="F36" s="52">
        <f t="shared" si="6"/>
        <v>209.83300912811899</v>
      </c>
      <c r="G36" s="52">
        <v>9.5458710618809999</v>
      </c>
      <c r="H36" s="52">
        <f t="shared" si="2"/>
        <v>219.37888018999999</v>
      </c>
      <c r="I36" s="52">
        <v>5</v>
      </c>
      <c r="J36" s="33">
        <v>217.24</v>
      </c>
    </row>
    <row r="37" spans="1:10">
      <c r="A37" s="115" t="s">
        <v>424</v>
      </c>
      <c r="B37" s="52">
        <f t="shared" si="7"/>
        <v>5</v>
      </c>
      <c r="C37" s="52">
        <v>209</v>
      </c>
      <c r="D37" s="52">
        <v>6.579221951300001</v>
      </c>
      <c r="E37" s="52">
        <f t="shared" si="8"/>
        <v>220.57922195130001</v>
      </c>
      <c r="F37" s="52">
        <f t="shared" si="6"/>
        <v>208.47492896891202</v>
      </c>
      <c r="G37" s="52">
        <v>7.1042929823880003</v>
      </c>
      <c r="H37" s="52">
        <f t="shared" si="2"/>
        <v>215.57922195130001</v>
      </c>
      <c r="I37" s="52">
        <v>5</v>
      </c>
      <c r="J37" s="33">
        <v>223.23</v>
      </c>
    </row>
    <row r="38" spans="1:10">
      <c r="A38" s="115" t="s">
        <v>449</v>
      </c>
      <c r="B38" s="52">
        <f t="shared" si="7"/>
        <v>5</v>
      </c>
      <c r="C38" s="52">
        <v>189</v>
      </c>
      <c r="D38" s="52">
        <v>7.5209999999999999</v>
      </c>
      <c r="E38" s="52">
        <f t="shared" si="8"/>
        <v>201.52099999999999</v>
      </c>
      <c r="F38" s="52">
        <f t="shared" ref="F38:F43" si="9">+H38-G38</f>
        <v>193.58110128904798</v>
      </c>
      <c r="G38" s="52">
        <v>2.9398987109520003</v>
      </c>
      <c r="H38" s="52">
        <f t="shared" si="2"/>
        <v>196.52099999999999</v>
      </c>
      <c r="I38" s="52">
        <v>5</v>
      </c>
      <c r="J38" s="33">
        <v>238.35</v>
      </c>
    </row>
    <row r="39" spans="1:10">
      <c r="A39" s="115" t="s">
        <v>438</v>
      </c>
      <c r="B39" s="52">
        <f t="shared" ref="B39:B44" si="10">+I38</f>
        <v>5</v>
      </c>
      <c r="C39" s="52">
        <v>198</v>
      </c>
      <c r="D39" s="52">
        <v>6.1879999999999997</v>
      </c>
      <c r="E39" s="52">
        <f t="shared" ref="E39:E45" si="11">SUM(B39:D39)</f>
        <v>209.18799999999999</v>
      </c>
      <c r="F39" s="52">
        <f t="shared" si="9"/>
        <v>198.93736201369998</v>
      </c>
      <c r="G39" s="52">
        <v>5.2506379863000001</v>
      </c>
      <c r="H39" s="52">
        <f t="shared" si="2"/>
        <v>204.18799999999999</v>
      </c>
      <c r="I39" s="52">
        <v>5</v>
      </c>
      <c r="J39" s="33">
        <v>320.13</v>
      </c>
    </row>
    <row r="40" spans="1:10">
      <c r="A40" s="115" t="s">
        <v>464</v>
      </c>
      <c r="B40" s="52">
        <f t="shared" si="10"/>
        <v>5</v>
      </c>
      <c r="C40" s="52">
        <v>157</v>
      </c>
      <c r="D40" s="52">
        <v>1.3879999999999999</v>
      </c>
      <c r="E40" s="52">
        <f t="shared" si="11"/>
        <v>163.38800000000001</v>
      </c>
      <c r="F40" s="52">
        <f t="shared" si="9"/>
        <v>152.54033163681299</v>
      </c>
      <c r="G40" s="52">
        <v>5.847668363187001</v>
      </c>
      <c r="H40" s="52">
        <f t="shared" si="2"/>
        <v>158.38800000000001</v>
      </c>
      <c r="I40" s="52">
        <v>5</v>
      </c>
      <c r="J40" s="33">
        <v>359.42</v>
      </c>
    </row>
    <row r="41" spans="1:10">
      <c r="A41" s="115" t="s">
        <v>496</v>
      </c>
      <c r="B41" s="52">
        <f t="shared" si="10"/>
        <v>5</v>
      </c>
      <c r="C41" s="92">
        <v>213</v>
      </c>
      <c r="D41" s="92">
        <v>2.9206110903000009</v>
      </c>
      <c r="E41" s="52">
        <f t="shared" si="11"/>
        <v>220.92061109030001</v>
      </c>
      <c r="F41" s="52">
        <f t="shared" si="9"/>
        <v>211.87772345808301</v>
      </c>
      <c r="G41" s="92">
        <v>4.0428876322169991</v>
      </c>
      <c r="H41" s="52">
        <f t="shared" si="2"/>
        <v>215.92061109030001</v>
      </c>
      <c r="I41" s="92">
        <v>5</v>
      </c>
      <c r="J41" s="214">
        <v>263.89999999999998</v>
      </c>
    </row>
    <row r="42" spans="1:10">
      <c r="A42" s="115" t="s">
        <v>495</v>
      </c>
      <c r="B42" s="52">
        <f t="shared" si="10"/>
        <v>5</v>
      </c>
      <c r="C42" s="92">
        <v>193</v>
      </c>
      <c r="D42" s="92">
        <v>7.0109950658999987</v>
      </c>
      <c r="E42" s="52">
        <f t="shared" si="11"/>
        <v>205.0109950659</v>
      </c>
      <c r="F42" s="52">
        <f t="shared" si="9"/>
        <v>196.31284197120101</v>
      </c>
      <c r="G42" s="92">
        <v>3.6981530946990002</v>
      </c>
      <c r="H42" s="52">
        <f t="shared" si="2"/>
        <v>200.0109950659</v>
      </c>
      <c r="I42" s="92">
        <v>5</v>
      </c>
      <c r="J42" s="214">
        <v>234.78</v>
      </c>
    </row>
    <row r="43" spans="1:10">
      <c r="A43" s="115" t="s">
        <v>498</v>
      </c>
      <c r="B43" s="52">
        <f t="shared" si="10"/>
        <v>5</v>
      </c>
      <c r="C43" s="92">
        <v>189</v>
      </c>
      <c r="D43" s="92">
        <v>6</v>
      </c>
      <c r="E43" s="52">
        <f t="shared" si="11"/>
        <v>200</v>
      </c>
      <c r="F43" s="52">
        <f t="shared" si="9"/>
        <v>190</v>
      </c>
      <c r="G43" s="92">
        <v>5</v>
      </c>
      <c r="H43" s="52">
        <f t="shared" si="2"/>
        <v>195</v>
      </c>
      <c r="I43" s="92">
        <v>5</v>
      </c>
      <c r="J43" s="214">
        <v>313.17</v>
      </c>
    </row>
    <row r="44" spans="1:10">
      <c r="A44" s="129" t="s">
        <v>636</v>
      </c>
      <c r="B44" s="52">
        <f t="shared" si="10"/>
        <v>5</v>
      </c>
      <c r="C44" s="92">
        <v>162</v>
      </c>
      <c r="D44" s="92">
        <v>6.6917348146000002</v>
      </c>
      <c r="E44" s="52">
        <f t="shared" si="11"/>
        <v>173.69173481460001</v>
      </c>
      <c r="F44" s="52">
        <f>+H44-G44</f>
        <v>165.79585138187801</v>
      </c>
      <c r="G44" s="92">
        <v>2.895883432722</v>
      </c>
      <c r="H44" s="52">
        <v>168.69173481460001</v>
      </c>
      <c r="I44" s="92">
        <v>5</v>
      </c>
      <c r="J44" s="214">
        <v>236.92249999999999</v>
      </c>
    </row>
    <row r="45" spans="1:10">
      <c r="A45" s="136" t="s">
        <v>635</v>
      </c>
      <c r="B45" s="13">
        <f>I44</f>
        <v>5</v>
      </c>
      <c r="C45" s="240">
        <v>167</v>
      </c>
      <c r="D45" s="240">
        <v>10</v>
      </c>
      <c r="E45" s="13">
        <f t="shared" si="11"/>
        <v>182</v>
      </c>
      <c r="F45" s="13">
        <f>+H45-G45</f>
        <v>173</v>
      </c>
      <c r="G45" s="240">
        <v>4</v>
      </c>
      <c r="H45" s="13">
        <v>177</v>
      </c>
      <c r="I45" s="240">
        <v>5</v>
      </c>
      <c r="J45" s="320" t="s">
        <v>671</v>
      </c>
    </row>
    <row r="46" spans="1:10" ht="13.2" customHeight="1">
      <c r="A46" s="107" t="s">
        <v>381</v>
      </c>
    </row>
    <row r="47" spans="1:10" ht="13.2" customHeight="1">
      <c r="A47" s="107" t="s">
        <v>426</v>
      </c>
    </row>
    <row r="48" spans="1:10" ht="10.199999999999999" customHeight="1">
      <c r="A48" s="107" t="s">
        <v>490</v>
      </c>
      <c r="I48" s="270"/>
      <c r="J48" s="270" t="s">
        <v>679</v>
      </c>
    </row>
    <row r="49" spans="11:12" ht="10.199999999999999" customHeight="1">
      <c r="K49" s="161"/>
      <c r="L49" s="161"/>
    </row>
  </sheetData>
  <phoneticPr fontId="0" type="noConversion"/>
  <pageMargins left="0.7" right="0.7" top="0.75" bottom="0.75" header="0.3" footer="0.3"/>
  <pageSetup scale="36" firstPageNumber="57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48"/>
  <sheetViews>
    <sheetView zoomScaleNormal="100" zoomScaleSheetLayoutView="100" workbookViewId="0">
      <selection activeCell="A105" sqref="A105"/>
    </sheetView>
  </sheetViews>
  <sheetFormatPr defaultRowHeight="10.199999999999999"/>
  <cols>
    <col min="1" max="9" width="12.85546875" customWidth="1"/>
  </cols>
  <sheetData>
    <row r="1" spans="1:9">
      <c r="A1" s="136" t="s">
        <v>647</v>
      </c>
      <c r="B1" s="1"/>
      <c r="C1" s="1"/>
      <c r="D1" s="1"/>
      <c r="E1" s="1"/>
      <c r="F1" s="1"/>
      <c r="G1" s="1"/>
      <c r="H1" s="1"/>
      <c r="I1" s="1"/>
    </row>
    <row r="2" spans="1:9">
      <c r="A2" s="10" t="s">
        <v>107</v>
      </c>
      <c r="B2" s="3"/>
      <c r="C2" s="279" t="s">
        <v>119</v>
      </c>
      <c r="D2" s="382"/>
      <c r="E2" s="3"/>
      <c r="F2" s="279" t="s">
        <v>117</v>
      </c>
      <c r="G2" s="382"/>
    </row>
    <row r="3" spans="1:9">
      <c r="A3" t="s">
        <v>100</v>
      </c>
      <c r="B3" s="7" t="s">
        <v>141</v>
      </c>
      <c r="D3" s="389"/>
      <c r="G3" s="402"/>
      <c r="H3" s="7" t="s">
        <v>143</v>
      </c>
      <c r="I3" s="9" t="s">
        <v>118</v>
      </c>
    </row>
    <row r="4" spans="1:9">
      <c r="A4" s="1" t="s">
        <v>163</v>
      </c>
      <c r="B4" s="9" t="s">
        <v>110</v>
      </c>
      <c r="C4" s="9" t="s">
        <v>66</v>
      </c>
      <c r="D4" s="369" t="s">
        <v>372</v>
      </c>
      <c r="E4" s="9" t="s">
        <v>142</v>
      </c>
      <c r="F4" s="9" t="s">
        <v>164</v>
      </c>
      <c r="G4" s="369" t="s">
        <v>3</v>
      </c>
      <c r="H4" s="9" t="s">
        <v>110</v>
      </c>
      <c r="I4" s="9" t="s">
        <v>169</v>
      </c>
    </row>
    <row r="5" spans="1:9">
      <c r="C5" s="280"/>
      <c r="D5" s="280"/>
      <c r="E5" s="280" t="s">
        <v>173</v>
      </c>
      <c r="F5" s="280"/>
      <c r="G5" s="280"/>
      <c r="H5" s="280"/>
      <c r="I5" s="7" t="s">
        <v>453</v>
      </c>
    </row>
    <row r="6" spans="1:9">
      <c r="B6" s="156"/>
      <c r="C6" s="156"/>
      <c r="D6" s="156"/>
      <c r="E6" s="156"/>
      <c r="F6" s="156"/>
      <c r="G6" s="156"/>
      <c r="H6" s="156"/>
      <c r="I6" s="7"/>
    </row>
    <row r="7" spans="1:9">
      <c r="A7" s="10" t="s">
        <v>273</v>
      </c>
      <c r="B7" s="12">
        <v>54</v>
      </c>
      <c r="C7" s="12">
        <v>251</v>
      </c>
      <c r="D7" s="52">
        <f>+B7+C7+0</f>
        <v>305</v>
      </c>
      <c r="E7" s="12">
        <f t="shared" ref="E7:E31" si="0">+G7-F7</f>
        <v>187.96199999999999</v>
      </c>
      <c r="F7" s="12">
        <v>60.660000000000011</v>
      </c>
      <c r="G7" s="12">
        <f t="shared" ref="G7:G45" si="1">+D7-H7</f>
        <v>248.62200000000001</v>
      </c>
      <c r="H7" s="12">
        <v>56.378</v>
      </c>
      <c r="I7" s="31">
        <v>30.02</v>
      </c>
    </row>
    <row r="8" spans="1:9">
      <c r="A8" s="10" t="s">
        <v>274</v>
      </c>
      <c r="B8" s="12">
        <f t="shared" ref="B8:B26" si="2">+H7</f>
        <v>56.378</v>
      </c>
      <c r="C8" s="12">
        <v>237</v>
      </c>
      <c r="D8" s="52">
        <f>+B8+C8+0</f>
        <v>293.37799999999999</v>
      </c>
      <c r="E8" s="12">
        <f t="shared" si="0"/>
        <v>189.17799999999997</v>
      </c>
      <c r="F8" s="12">
        <v>53.851999999999997</v>
      </c>
      <c r="G8" s="12">
        <f t="shared" si="1"/>
        <v>243.02999999999997</v>
      </c>
      <c r="H8" s="12">
        <v>50.347999999999999</v>
      </c>
      <c r="I8" s="31">
        <v>30.01</v>
      </c>
    </row>
    <row r="9" spans="1:9">
      <c r="A9" s="10" t="s">
        <v>275</v>
      </c>
      <c r="B9" s="12">
        <f t="shared" si="2"/>
        <v>50.347999999999999</v>
      </c>
      <c r="C9" s="12">
        <v>182</v>
      </c>
      <c r="D9" s="52">
        <f>+B9+C9+0</f>
        <v>232.34800000000001</v>
      </c>
      <c r="E9" s="12">
        <f t="shared" si="0"/>
        <v>176.47900000000001</v>
      </c>
      <c r="F9" s="12">
        <v>20.748999999999999</v>
      </c>
      <c r="G9" s="12">
        <f t="shared" si="1"/>
        <v>197.22800000000001</v>
      </c>
      <c r="H9" s="12">
        <v>35.119999999999997</v>
      </c>
      <c r="I9" s="31">
        <v>25.19</v>
      </c>
    </row>
    <row r="10" spans="1:9">
      <c r="A10" s="10" t="s">
        <v>276</v>
      </c>
      <c r="B10" s="12">
        <f t="shared" si="2"/>
        <v>35.119999999999997</v>
      </c>
      <c r="C10" s="12">
        <v>265</v>
      </c>
      <c r="D10" s="52">
        <f>+B10+C10+0</f>
        <v>300.12</v>
      </c>
      <c r="E10" s="12">
        <f t="shared" si="0"/>
        <v>201.04900000000004</v>
      </c>
      <c r="F10" s="12">
        <v>51.454999999999998</v>
      </c>
      <c r="G10" s="12">
        <f t="shared" si="1"/>
        <v>252.50400000000002</v>
      </c>
      <c r="H10" s="12">
        <v>47.616</v>
      </c>
      <c r="I10" s="31">
        <v>30.12</v>
      </c>
    </row>
    <row r="11" spans="1:9">
      <c r="A11" s="10" t="s">
        <v>277</v>
      </c>
      <c r="B11" s="12">
        <f t="shared" si="2"/>
        <v>47.616</v>
      </c>
      <c r="C11" s="12">
        <v>194</v>
      </c>
      <c r="D11" s="52">
        <f>+B11+C11+0</f>
        <v>241.61599999999999</v>
      </c>
      <c r="E11" s="12">
        <f t="shared" si="0"/>
        <v>192.749</v>
      </c>
      <c r="F11" s="12">
        <v>15.481000000000002</v>
      </c>
      <c r="G11" s="12">
        <f t="shared" si="1"/>
        <v>208.23</v>
      </c>
      <c r="H11" s="12">
        <v>33.386000000000003</v>
      </c>
      <c r="I11" s="31">
        <v>32.6</v>
      </c>
    </row>
    <row r="12" spans="1:9">
      <c r="A12" s="10" t="s">
        <v>278</v>
      </c>
      <c r="B12" s="12">
        <f t="shared" si="2"/>
        <v>33.386000000000003</v>
      </c>
      <c r="C12" s="12">
        <v>205</v>
      </c>
      <c r="D12" s="52">
        <f>+B12+C12+0.51</f>
        <v>238.89599999999999</v>
      </c>
      <c r="E12" s="12">
        <f t="shared" si="0"/>
        <v>184.33299999999997</v>
      </c>
      <c r="F12" s="12">
        <v>14.434999999999997</v>
      </c>
      <c r="G12" s="12">
        <f t="shared" si="1"/>
        <v>198.76799999999997</v>
      </c>
      <c r="H12" s="12">
        <v>40.128</v>
      </c>
      <c r="I12" s="31">
        <v>31.14</v>
      </c>
    </row>
    <row r="13" spans="1:9">
      <c r="A13" s="10" t="s">
        <v>279</v>
      </c>
      <c r="B13" s="12">
        <f t="shared" si="2"/>
        <v>40.128</v>
      </c>
      <c r="C13" s="12">
        <v>201</v>
      </c>
      <c r="D13" s="52">
        <f>+B13+C13+0.34</f>
        <v>241.46799999999999</v>
      </c>
      <c r="E13" s="12">
        <f t="shared" si="0"/>
        <v>183.98699999999999</v>
      </c>
      <c r="F13" s="12">
        <v>6.3860000000000001</v>
      </c>
      <c r="G13" s="12">
        <f t="shared" si="1"/>
        <v>190.37299999999999</v>
      </c>
      <c r="H13" s="12">
        <v>51.094999999999999</v>
      </c>
      <c r="I13" s="31">
        <v>26.34</v>
      </c>
    </row>
    <row r="14" spans="1:9">
      <c r="A14" s="10" t="s">
        <v>280</v>
      </c>
      <c r="B14" s="12">
        <f t="shared" si="2"/>
        <v>51.094999999999999</v>
      </c>
      <c r="C14" s="12">
        <v>217</v>
      </c>
      <c r="D14" s="52">
        <f>+B14+C14+0.56</f>
        <v>268.65500000000003</v>
      </c>
      <c r="E14" s="12">
        <f t="shared" si="0"/>
        <v>219.82600000000002</v>
      </c>
      <c r="F14" s="12">
        <v>8.0290000000000017</v>
      </c>
      <c r="G14" s="12">
        <f t="shared" si="1"/>
        <v>227.85500000000002</v>
      </c>
      <c r="H14" s="12">
        <v>40.799999999999997</v>
      </c>
      <c r="I14" s="31">
        <v>24.71</v>
      </c>
    </row>
    <row r="15" spans="1:9">
      <c r="A15" s="10" t="s">
        <v>281</v>
      </c>
      <c r="B15" s="12">
        <f t="shared" si="2"/>
        <v>40.799999999999997</v>
      </c>
      <c r="C15" s="12">
        <v>170</v>
      </c>
      <c r="D15" s="52">
        <f>+B15+C15+0.09</f>
        <v>210.89000000000001</v>
      </c>
      <c r="E15" s="12">
        <f t="shared" si="0"/>
        <v>151.24023751945001</v>
      </c>
      <c r="F15" s="12">
        <v>12.149762480550001</v>
      </c>
      <c r="G15" s="12">
        <f t="shared" si="1"/>
        <v>163.39000000000001</v>
      </c>
      <c r="H15" s="12">
        <v>47.5</v>
      </c>
      <c r="I15" s="31">
        <v>39.380000000000003</v>
      </c>
    </row>
    <row r="16" spans="1:9">
      <c r="A16" s="10" t="s">
        <v>9</v>
      </c>
      <c r="B16" s="12">
        <f t="shared" si="2"/>
        <v>47.5</v>
      </c>
      <c r="C16" s="12">
        <v>165</v>
      </c>
      <c r="D16" s="52">
        <f>+B16+C16+0.01</f>
        <v>212.51</v>
      </c>
      <c r="E16" s="12">
        <f t="shared" si="0"/>
        <v>164.18497032312598</v>
      </c>
      <c r="F16" s="12">
        <v>11.525029676874</v>
      </c>
      <c r="G16" s="12">
        <f t="shared" si="1"/>
        <v>175.70999999999998</v>
      </c>
      <c r="H16" s="12">
        <v>36.799999999999997</v>
      </c>
      <c r="I16" s="31">
        <v>40.200000000000003</v>
      </c>
    </row>
    <row r="17" spans="1:9">
      <c r="A17" s="10" t="s">
        <v>10</v>
      </c>
      <c r="B17" s="12">
        <f t="shared" si="2"/>
        <v>36.799999999999997</v>
      </c>
      <c r="C17" s="12">
        <v>172</v>
      </c>
      <c r="D17" s="52">
        <f>+B17+C17+0.21</f>
        <v>209.01000000000002</v>
      </c>
      <c r="E17" s="12">
        <f t="shared" si="0"/>
        <v>162.55617412484602</v>
      </c>
      <c r="F17" s="12">
        <v>6.453825875154001</v>
      </c>
      <c r="G17" s="12">
        <f t="shared" si="1"/>
        <v>169.01000000000002</v>
      </c>
      <c r="H17" s="12">
        <v>40</v>
      </c>
      <c r="I17" s="31">
        <v>38.04</v>
      </c>
    </row>
    <row r="18" spans="1:9">
      <c r="A18" s="10" t="s">
        <v>11</v>
      </c>
      <c r="B18" s="12">
        <f t="shared" si="2"/>
        <v>40</v>
      </c>
      <c r="C18" s="12">
        <v>176</v>
      </c>
      <c r="D18" s="52">
        <f>+B18+C18+0.77</f>
        <v>216.77</v>
      </c>
      <c r="E18" s="12">
        <f t="shared" si="0"/>
        <v>146.46992939767603</v>
      </c>
      <c r="F18" s="12">
        <v>12.000070602324001</v>
      </c>
      <c r="G18" s="12">
        <f t="shared" si="1"/>
        <v>158.47000000000003</v>
      </c>
      <c r="H18" s="12">
        <v>58.3</v>
      </c>
      <c r="I18" s="31">
        <v>32</v>
      </c>
    </row>
    <row r="19" spans="1:9">
      <c r="A19" s="10" t="s">
        <v>12</v>
      </c>
      <c r="B19" s="12">
        <f t="shared" si="2"/>
        <v>58.3</v>
      </c>
      <c r="C19" s="12">
        <v>168</v>
      </c>
      <c r="D19" s="52">
        <f>+B19+C19+0.08</f>
        <v>226.38000000000002</v>
      </c>
      <c r="E19" s="12">
        <f t="shared" si="0"/>
        <v>163.87902055903601</v>
      </c>
      <c r="F19" s="12">
        <v>8.3009794409639994</v>
      </c>
      <c r="G19" s="12">
        <f t="shared" si="1"/>
        <v>172.18</v>
      </c>
      <c r="H19" s="12">
        <v>54.2</v>
      </c>
      <c r="I19" s="31">
        <v>31.5</v>
      </c>
    </row>
    <row r="20" spans="1:9">
      <c r="A20" s="10" t="s">
        <v>13</v>
      </c>
      <c r="B20" s="12">
        <f t="shared" si="2"/>
        <v>54.2</v>
      </c>
      <c r="C20" s="12">
        <v>169</v>
      </c>
      <c r="D20" s="52">
        <f>+B20+C20+0.62</f>
        <v>223.82</v>
      </c>
      <c r="E20" s="12">
        <f t="shared" si="0"/>
        <v>154.381906305624</v>
      </c>
      <c r="F20" s="12">
        <v>6.8380936943760009</v>
      </c>
      <c r="G20" s="12">
        <f t="shared" si="1"/>
        <v>161.22</v>
      </c>
      <c r="H20" s="12">
        <v>62.6</v>
      </c>
      <c r="I20" s="31">
        <v>31.78</v>
      </c>
    </row>
    <row r="21" spans="1:9">
      <c r="A21" s="10" t="s">
        <v>14</v>
      </c>
      <c r="B21" s="12">
        <f t="shared" si="2"/>
        <v>62.6</v>
      </c>
      <c r="C21" s="12">
        <v>167</v>
      </c>
      <c r="D21" s="52">
        <f>+B21+C21+2.71</f>
        <v>232.31</v>
      </c>
      <c r="E21" s="12">
        <f t="shared" si="0"/>
        <v>163.74454576719802</v>
      </c>
      <c r="F21" s="12">
        <v>23.865454232802001</v>
      </c>
      <c r="G21" s="12">
        <f t="shared" si="1"/>
        <v>187.61</v>
      </c>
      <c r="H21" s="12">
        <v>44.7</v>
      </c>
      <c r="I21" s="31">
        <v>33.729999999999997</v>
      </c>
    </row>
    <row r="22" spans="1:9">
      <c r="A22" s="10" t="s">
        <v>15</v>
      </c>
      <c r="B22" s="12">
        <f t="shared" si="2"/>
        <v>44.7</v>
      </c>
      <c r="C22" s="12">
        <v>176</v>
      </c>
      <c r="D22" s="52">
        <f>+B22+C22+3.64</f>
        <v>224.33999999999997</v>
      </c>
      <c r="E22" s="12">
        <f t="shared" si="0"/>
        <v>150.92542402282999</v>
      </c>
      <c r="F22" s="12">
        <v>26.21457597717</v>
      </c>
      <c r="G22" s="12">
        <f t="shared" si="1"/>
        <v>177.14</v>
      </c>
      <c r="H22" s="12">
        <v>47.2</v>
      </c>
      <c r="I22" s="31">
        <v>36.54</v>
      </c>
    </row>
    <row r="23" spans="1:9">
      <c r="A23" s="10" t="s">
        <v>16</v>
      </c>
      <c r="B23" s="12">
        <f t="shared" si="2"/>
        <v>47.2</v>
      </c>
      <c r="C23" s="12">
        <v>195</v>
      </c>
      <c r="D23" s="52">
        <f>+B23+C23+6.5</f>
        <v>248.7</v>
      </c>
      <c r="E23" s="12">
        <f t="shared" si="0"/>
        <v>137.298863218956</v>
      </c>
      <c r="F23" s="12">
        <v>65.801136781044008</v>
      </c>
      <c r="G23" s="12">
        <f t="shared" si="1"/>
        <v>203.1</v>
      </c>
      <c r="H23" s="12">
        <v>45.6</v>
      </c>
      <c r="I23" s="31">
        <v>35.97</v>
      </c>
    </row>
    <row r="24" spans="1:9">
      <c r="A24" s="10" t="s">
        <v>17</v>
      </c>
      <c r="B24" s="12">
        <f t="shared" si="2"/>
        <v>45.6</v>
      </c>
      <c r="C24" s="12">
        <v>205</v>
      </c>
      <c r="D24" s="52">
        <f>+B24+C24+6.6</f>
        <v>257.2</v>
      </c>
      <c r="E24" s="12">
        <f t="shared" si="0"/>
        <v>149.87220551671399</v>
      </c>
      <c r="F24" s="12">
        <v>57.927794483285993</v>
      </c>
      <c r="G24" s="12">
        <f t="shared" si="1"/>
        <v>207.79999999999998</v>
      </c>
      <c r="H24" s="12">
        <v>49.4</v>
      </c>
      <c r="I24" s="31">
        <v>36.33</v>
      </c>
    </row>
    <row r="25" spans="1:9">
      <c r="A25" s="10" t="s">
        <v>18</v>
      </c>
      <c r="B25" s="12">
        <f t="shared" si="2"/>
        <v>49.4</v>
      </c>
      <c r="C25" s="12">
        <v>207</v>
      </c>
      <c r="D25" s="52">
        <f>+B25+C25+12.33</f>
        <v>268.72999999999996</v>
      </c>
      <c r="E25" s="12">
        <f t="shared" si="0"/>
        <v>129.36613346796798</v>
      </c>
      <c r="F25" s="12">
        <v>63.163866532031996</v>
      </c>
      <c r="G25" s="12">
        <f t="shared" si="1"/>
        <v>192.52999999999997</v>
      </c>
      <c r="H25" s="12">
        <v>76.2</v>
      </c>
      <c r="I25" s="31">
        <v>36.42</v>
      </c>
    </row>
    <row r="26" spans="1:9">
      <c r="A26" s="10" t="s">
        <v>19</v>
      </c>
      <c r="B26" s="12">
        <f t="shared" si="2"/>
        <v>76.2</v>
      </c>
      <c r="C26" s="12">
        <v>224</v>
      </c>
      <c r="D26" s="52">
        <f>+B26+C26+13.01</f>
        <v>313.20999999999998</v>
      </c>
      <c r="E26" s="12">
        <f t="shared" si="0"/>
        <v>194.78438360887594</v>
      </c>
      <c r="F26" s="12">
        <v>74.325616391124001</v>
      </c>
      <c r="G26" s="12">
        <f t="shared" si="1"/>
        <v>269.10999999999996</v>
      </c>
      <c r="H26" s="12">
        <v>44.1</v>
      </c>
      <c r="I26" s="31">
        <v>35.83</v>
      </c>
    </row>
    <row r="27" spans="1:9">
      <c r="A27" s="62" t="s">
        <v>337</v>
      </c>
      <c r="B27" s="52">
        <v>49</v>
      </c>
      <c r="C27" s="52">
        <v>234</v>
      </c>
      <c r="D27" s="52">
        <f>+B27+C27+12.49</f>
        <v>295.49</v>
      </c>
      <c r="E27" s="52">
        <f t="shared" si="0"/>
        <v>177.55969383262203</v>
      </c>
      <c r="F27" s="52">
        <v>73.030306167377987</v>
      </c>
      <c r="G27" s="52">
        <f t="shared" si="1"/>
        <v>250.59</v>
      </c>
      <c r="H27" s="52">
        <v>44.9</v>
      </c>
      <c r="I27" s="31">
        <v>36</v>
      </c>
    </row>
    <row r="28" spans="1:9">
      <c r="A28" s="62" t="s">
        <v>341</v>
      </c>
      <c r="B28" s="52">
        <f t="shared" ref="B28:B33" si="3">+H27</f>
        <v>44.9</v>
      </c>
      <c r="C28" s="52">
        <v>195</v>
      </c>
      <c r="D28" s="52">
        <f>+B28+C28+10.59</f>
        <v>250.49</v>
      </c>
      <c r="E28" s="52">
        <f t="shared" si="0"/>
        <v>168.90411507277659</v>
      </c>
      <c r="F28" s="52">
        <v>50.485884927223417</v>
      </c>
      <c r="G28" s="52">
        <f t="shared" si="1"/>
        <v>219.39000000000001</v>
      </c>
      <c r="H28" s="52">
        <v>31.1</v>
      </c>
      <c r="I28" s="31">
        <v>38.1</v>
      </c>
    </row>
    <row r="29" spans="1:9">
      <c r="A29" s="62" t="s">
        <v>353</v>
      </c>
      <c r="B29" s="52">
        <f t="shared" si="3"/>
        <v>31.1</v>
      </c>
      <c r="C29" s="52">
        <v>205</v>
      </c>
      <c r="D29" s="52">
        <f>+B29+C29+12.98</f>
        <v>249.07999999999998</v>
      </c>
      <c r="E29" s="52">
        <f t="shared" si="0"/>
        <v>145.287366944768</v>
      </c>
      <c r="F29" s="52">
        <v>70.054633055232003</v>
      </c>
      <c r="G29" s="52">
        <f t="shared" si="1"/>
        <v>215.34199999999998</v>
      </c>
      <c r="H29" s="52">
        <v>33.738</v>
      </c>
      <c r="I29" s="31">
        <v>39.86</v>
      </c>
    </row>
    <row r="30" spans="1:9">
      <c r="A30" s="62" t="s">
        <v>364</v>
      </c>
      <c r="B30" s="52">
        <f t="shared" si="3"/>
        <v>33.738</v>
      </c>
      <c r="C30" s="52">
        <v>220</v>
      </c>
      <c r="D30" s="52">
        <f>+B30+C30+14.45</f>
        <v>268.18799999999999</v>
      </c>
      <c r="E30" s="52">
        <f t="shared" si="0"/>
        <v>172.11826930714801</v>
      </c>
      <c r="F30" s="52">
        <v>76.224730692851992</v>
      </c>
      <c r="G30" s="52">
        <f t="shared" si="1"/>
        <v>248.34299999999999</v>
      </c>
      <c r="H30" s="52">
        <v>19.844999999999999</v>
      </c>
      <c r="I30" s="31">
        <v>42</v>
      </c>
    </row>
    <row r="31" spans="1:9">
      <c r="A31" s="62" t="s">
        <v>366</v>
      </c>
      <c r="B31" s="52">
        <f t="shared" si="3"/>
        <v>19.844999999999999</v>
      </c>
      <c r="C31" s="52">
        <v>265</v>
      </c>
      <c r="D31" s="52">
        <f>+B31+C31+16.02</f>
        <v>300.86500000000001</v>
      </c>
      <c r="E31" s="52">
        <f t="shared" si="0"/>
        <v>148.85250052119198</v>
      </c>
      <c r="F31" s="52">
        <v>106.87249947880802</v>
      </c>
      <c r="G31" s="52">
        <f t="shared" si="1"/>
        <v>255.72500000000002</v>
      </c>
      <c r="H31" s="52">
        <v>45.14</v>
      </c>
      <c r="I31" s="31">
        <v>59.49</v>
      </c>
    </row>
    <row r="32" spans="1:9">
      <c r="A32" s="62" t="s">
        <v>385</v>
      </c>
      <c r="B32" s="52">
        <f t="shared" si="3"/>
        <v>45.14</v>
      </c>
      <c r="C32" s="52">
        <v>320</v>
      </c>
      <c r="D32" s="52">
        <f>+B32+C32+10.04</f>
        <v>375.18</v>
      </c>
      <c r="E32" s="52">
        <f t="shared" ref="E32:E37" si="4">+G32-F32</f>
        <v>247.76390305783195</v>
      </c>
      <c r="F32" s="52">
        <v>98.316096942168016</v>
      </c>
      <c r="G32" s="52">
        <f t="shared" si="1"/>
        <v>346.08</v>
      </c>
      <c r="H32" s="52">
        <v>29.1</v>
      </c>
      <c r="I32" s="31">
        <v>53.99</v>
      </c>
    </row>
    <row r="33" spans="1:10">
      <c r="A33" s="62" t="s">
        <v>400</v>
      </c>
      <c r="B33" s="52">
        <f t="shared" si="3"/>
        <v>29.1</v>
      </c>
      <c r="C33" s="52">
        <v>291</v>
      </c>
      <c r="D33" s="52">
        <f>+B33+C33+8.34</f>
        <v>328.44</v>
      </c>
      <c r="E33" s="52">
        <f t="shared" si="4"/>
        <v>201.90526859286797</v>
      </c>
      <c r="F33" s="52">
        <v>75.734731407132003</v>
      </c>
      <c r="G33" s="52">
        <f t="shared" si="1"/>
        <v>277.64</v>
      </c>
      <c r="H33" s="52">
        <v>50.8</v>
      </c>
      <c r="I33" s="31">
        <v>44.37</v>
      </c>
    </row>
    <row r="34" spans="1:10">
      <c r="A34" s="62" t="s">
        <v>404</v>
      </c>
      <c r="B34" s="52">
        <f t="shared" ref="B34:B39" si="5">+H33</f>
        <v>50.8</v>
      </c>
      <c r="C34" s="52">
        <v>228</v>
      </c>
      <c r="D34" s="52">
        <f>+B34+C34+12.23</f>
        <v>291.03000000000003</v>
      </c>
      <c r="E34" s="52">
        <f t="shared" si="4"/>
        <v>190.85580158484802</v>
      </c>
      <c r="F34" s="52">
        <v>73.953198415152002</v>
      </c>
      <c r="G34" s="52">
        <f t="shared" si="1"/>
        <v>264.80900000000003</v>
      </c>
      <c r="H34" s="52">
        <v>26.221</v>
      </c>
      <c r="I34" s="31">
        <v>70.31</v>
      </c>
    </row>
    <row r="35" spans="1:10">
      <c r="A35" s="62" t="s">
        <v>411</v>
      </c>
      <c r="B35" s="52">
        <f t="shared" si="5"/>
        <v>26.221</v>
      </c>
      <c r="C35" s="52">
        <v>159</v>
      </c>
      <c r="D35" s="52">
        <f>+B35+C35+5.683</f>
        <v>190.904</v>
      </c>
      <c r="E35" s="52">
        <f t="shared" si="4"/>
        <v>52.345764610559996</v>
      </c>
      <c r="F35" s="52">
        <v>66.05823538944</v>
      </c>
      <c r="G35" s="52">
        <f t="shared" si="1"/>
        <v>118.404</v>
      </c>
      <c r="H35" s="52">
        <v>72.5</v>
      </c>
      <c r="I35" s="31">
        <v>86.52</v>
      </c>
    </row>
    <row r="36" spans="1:10">
      <c r="A36" s="115" t="s">
        <v>417</v>
      </c>
      <c r="B36" s="52">
        <f t="shared" si="5"/>
        <v>72.5</v>
      </c>
      <c r="C36" s="52">
        <v>234</v>
      </c>
      <c r="D36" s="52">
        <f>+B36+C36+5.418</f>
        <v>311.91800000000001</v>
      </c>
      <c r="E36" s="52">
        <f t="shared" si="4"/>
        <v>171.74327184133602</v>
      </c>
      <c r="F36" s="52">
        <v>103.210728158664</v>
      </c>
      <c r="G36" s="52">
        <f t="shared" si="1"/>
        <v>274.95400000000001</v>
      </c>
      <c r="H36" s="52">
        <v>36.963999999999999</v>
      </c>
      <c r="I36" s="31">
        <v>67.489999999999995</v>
      </c>
    </row>
    <row r="37" spans="1:10">
      <c r="A37" s="115" t="s">
        <v>420</v>
      </c>
      <c r="B37" s="52">
        <f t="shared" si="5"/>
        <v>36.963999999999999</v>
      </c>
      <c r="C37" s="52">
        <v>227</v>
      </c>
      <c r="D37" s="52">
        <f>+B37+C37+6.067</f>
        <v>270.03100000000001</v>
      </c>
      <c r="E37" s="52">
        <f t="shared" si="4"/>
        <v>130.66277720502001</v>
      </c>
      <c r="F37" s="52">
        <v>101.18022279498001</v>
      </c>
      <c r="G37" s="52">
        <f t="shared" si="1"/>
        <v>231.84300000000002</v>
      </c>
      <c r="H37" s="52">
        <v>38.188000000000002</v>
      </c>
      <c r="I37" s="31">
        <v>90</v>
      </c>
    </row>
    <row r="38" spans="1:10">
      <c r="A38" s="115" t="s">
        <v>425</v>
      </c>
      <c r="B38" s="52">
        <f t="shared" si="5"/>
        <v>38.188000000000002</v>
      </c>
      <c r="C38" s="52">
        <v>205</v>
      </c>
      <c r="D38" s="52">
        <f>+B38+C38+5.033</f>
        <v>248.22099999999998</v>
      </c>
      <c r="E38" s="52">
        <f t="shared" ref="E38:E43" si="6">+G38-F38</f>
        <v>124.04899388563398</v>
      </c>
      <c r="F38" s="52">
        <v>89.172006114365999</v>
      </c>
      <c r="G38" s="52">
        <f t="shared" si="1"/>
        <v>213.22099999999998</v>
      </c>
      <c r="H38" s="52">
        <v>35</v>
      </c>
      <c r="I38" s="31">
        <v>90</v>
      </c>
    </row>
    <row r="39" spans="1:10">
      <c r="A39" s="115" t="s">
        <v>438</v>
      </c>
      <c r="B39" s="52">
        <f t="shared" si="5"/>
        <v>35</v>
      </c>
      <c r="C39" s="52">
        <v>215</v>
      </c>
      <c r="D39" s="52">
        <f>+B39+C39+5.319</f>
        <v>255.31899999999999</v>
      </c>
      <c r="E39" s="52">
        <f t="shared" si="6"/>
        <v>126.21261333447798</v>
      </c>
      <c r="F39" s="52">
        <v>94.10638666552201</v>
      </c>
      <c r="G39" s="52">
        <f t="shared" si="1"/>
        <v>220.31899999999999</v>
      </c>
      <c r="H39" s="52">
        <v>35</v>
      </c>
      <c r="I39" s="31">
        <v>90</v>
      </c>
    </row>
    <row r="40" spans="1:10">
      <c r="A40" s="115" t="s">
        <v>464</v>
      </c>
      <c r="B40" s="52">
        <f t="shared" ref="B40:B45" si="7">+H39</f>
        <v>35</v>
      </c>
      <c r="C40" s="52">
        <v>170</v>
      </c>
      <c r="D40" s="52">
        <f>+B40+C40+4.785</f>
        <v>209.785</v>
      </c>
      <c r="E40" s="52">
        <f t="shared" si="6"/>
        <v>116.51501511298399</v>
      </c>
      <c r="F40" s="52">
        <v>58.269984887016008</v>
      </c>
      <c r="G40" s="52">
        <f t="shared" si="1"/>
        <v>174.785</v>
      </c>
      <c r="H40" s="52">
        <v>35</v>
      </c>
      <c r="I40" s="31">
        <v>90</v>
      </c>
    </row>
    <row r="41" spans="1:10">
      <c r="A41" s="115" t="s">
        <v>492</v>
      </c>
      <c r="B41" s="52">
        <f t="shared" si="7"/>
        <v>35</v>
      </c>
      <c r="C41" s="92">
        <v>231</v>
      </c>
      <c r="D41" s="92">
        <f>+B41+C41+4.298</f>
        <v>270.298</v>
      </c>
      <c r="E41" s="52">
        <f t="shared" si="6"/>
        <v>183.34553141450002</v>
      </c>
      <c r="F41" s="92">
        <v>51.952468585499993</v>
      </c>
      <c r="G41" s="52">
        <f t="shared" si="1"/>
        <v>235.298</v>
      </c>
      <c r="H41" s="92">
        <v>35</v>
      </c>
      <c r="I41" s="31">
        <v>90</v>
      </c>
    </row>
    <row r="42" spans="1:10">
      <c r="A42" s="115" t="s">
        <v>505</v>
      </c>
      <c r="B42" s="52">
        <f t="shared" si="7"/>
        <v>35</v>
      </c>
      <c r="C42" s="92">
        <v>209</v>
      </c>
      <c r="D42" s="92">
        <f>+B42+C42+4.087</f>
        <v>248.08699999999999</v>
      </c>
      <c r="E42" s="52">
        <f t="shared" si="6"/>
        <v>195.895514172162</v>
      </c>
      <c r="F42" s="92">
        <v>17.191485827837997</v>
      </c>
      <c r="G42" s="52">
        <f t="shared" si="1"/>
        <v>213.08699999999999</v>
      </c>
      <c r="H42" s="92">
        <v>35</v>
      </c>
      <c r="I42" s="31">
        <v>90</v>
      </c>
    </row>
    <row r="43" spans="1:10">
      <c r="A43" s="115" t="s">
        <v>575</v>
      </c>
      <c r="B43" s="52">
        <f t="shared" si="7"/>
        <v>35</v>
      </c>
      <c r="C43" s="92">
        <v>205</v>
      </c>
      <c r="D43" s="92">
        <f>+B43+C43+4</f>
        <v>244</v>
      </c>
      <c r="E43" s="52">
        <f t="shared" si="6"/>
        <v>194</v>
      </c>
      <c r="F43" s="92">
        <v>15</v>
      </c>
      <c r="G43" s="52">
        <f t="shared" si="1"/>
        <v>209</v>
      </c>
      <c r="H43" s="92">
        <v>35</v>
      </c>
      <c r="I43" s="31">
        <v>90</v>
      </c>
    </row>
    <row r="44" spans="1:10">
      <c r="A44" s="129" t="s">
        <v>636</v>
      </c>
      <c r="B44" s="52">
        <f t="shared" si="7"/>
        <v>35</v>
      </c>
      <c r="C44" s="92">
        <v>176</v>
      </c>
      <c r="D44" s="92">
        <f>+B44+C44+5</f>
        <v>216</v>
      </c>
      <c r="E44" s="52">
        <v>167</v>
      </c>
      <c r="F44" s="92">
        <v>14</v>
      </c>
      <c r="G44" s="52">
        <f t="shared" si="1"/>
        <v>181</v>
      </c>
      <c r="H44" s="92">
        <v>35</v>
      </c>
      <c r="I44" s="31">
        <v>90</v>
      </c>
    </row>
    <row r="45" spans="1:10">
      <c r="A45" s="136" t="s">
        <v>628</v>
      </c>
      <c r="B45" s="13">
        <f t="shared" si="7"/>
        <v>35</v>
      </c>
      <c r="C45" s="240">
        <v>181</v>
      </c>
      <c r="D45" s="240">
        <f>+B45+C45+5</f>
        <v>221</v>
      </c>
      <c r="E45" s="13">
        <v>163</v>
      </c>
      <c r="F45" s="240">
        <v>23</v>
      </c>
      <c r="G45" s="13">
        <f t="shared" si="1"/>
        <v>186</v>
      </c>
      <c r="H45" s="240">
        <v>35</v>
      </c>
      <c r="I45" s="321" t="s">
        <v>672</v>
      </c>
    </row>
    <row r="46" spans="1:10" ht="13.2" customHeight="1">
      <c r="A46" s="107" t="s">
        <v>489</v>
      </c>
    </row>
    <row r="47" spans="1:10" ht="13.2" customHeight="1">
      <c r="A47" s="107" t="s">
        <v>427</v>
      </c>
    </row>
    <row r="48" spans="1:10" ht="10.199999999999999" customHeight="1">
      <c r="I48" s="278" t="s">
        <v>679</v>
      </c>
      <c r="J48" s="287"/>
    </row>
  </sheetData>
  <phoneticPr fontId="0" type="noConversion"/>
  <pageMargins left="0.7" right="0.7" top="0.75" bottom="0.75" header="0.3" footer="0.3"/>
  <pageSetup scale="36" firstPageNumber="58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81"/>
  <sheetViews>
    <sheetView zoomScaleNormal="100" zoomScaleSheetLayoutView="100" workbookViewId="0">
      <pane xSplit="1" ySplit="3" topLeftCell="B7" activePane="bottomRight" state="frozen"/>
      <selection activeCell="A105" sqref="A105"/>
      <selection pane="topRight" activeCell="A105" sqref="A105"/>
      <selection pane="bottomLeft" activeCell="A105" sqref="A105"/>
      <selection pane="bottomRight" activeCell="A105" sqref="A105"/>
    </sheetView>
  </sheetViews>
  <sheetFormatPr defaultRowHeight="10.199999999999999"/>
  <cols>
    <col min="1" max="1" width="22.7109375" customWidth="1"/>
    <col min="2" max="11" width="7.7109375" customWidth="1"/>
    <col min="12" max="12" width="7.7109375" style="191" customWidth="1"/>
    <col min="13" max="15" width="7.7109375" customWidth="1"/>
  </cols>
  <sheetData>
    <row r="1" spans="1:18">
      <c r="A1" s="114" t="s">
        <v>683</v>
      </c>
      <c r="B1" s="1"/>
      <c r="C1" s="1"/>
      <c r="D1" s="1"/>
      <c r="E1" s="1"/>
      <c r="F1" s="1"/>
      <c r="G1" s="1"/>
      <c r="H1" s="1"/>
      <c r="I1" s="1" t="s">
        <v>61</v>
      </c>
      <c r="J1" s="1"/>
      <c r="K1" s="1"/>
      <c r="L1" s="329"/>
      <c r="M1" s="1"/>
      <c r="N1" s="1"/>
      <c r="O1" s="1"/>
    </row>
    <row r="2" spans="1:18">
      <c r="A2" s="3" t="s">
        <v>73</v>
      </c>
      <c r="B2" s="47">
        <v>2004</v>
      </c>
      <c r="C2" s="47">
        <v>2005</v>
      </c>
      <c r="D2" s="47">
        <v>2006</v>
      </c>
      <c r="E2" s="47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9">
        <v>2013</v>
      </c>
      <c r="L2" s="326">
        <v>2014</v>
      </c>
      <c r="M2" s="9">
        <v>2015</v>
      </c>
      <c r="N2" s="9">
        <v>2016</v>
      </c>
      <c r="O2" s="283">
        <v>2017</v>
      </c>
      <c r="P2" s="338" t="s">
        <v>648</v>
      </c>
      <c r="Q2" s="115"/>
      <c r="R2" s="115"/>
    </row>
    <row r="3" spans="1:18">
      <c r="B3" s="277"/>
      <c r="C3" s="277"/>
      <c r="D3" s="277"/>
      <c r="E3" s="277"/>
      <c r="F3" s="277"/>
      <c r="G3" s="277"/>
      <c r="H3" s="277" t="s">
        <v>91</v>
      </c>
      <c r="I3" s="277"/>
      <c r="J3" s="277"/>
      <c r="K3" s="277"/>
      <c r="L3" s="354"/>
      <c r="M3" s="277"/>
    </row>
    <row r="4" spans="1:18" ht="10.199999999999999" customHeight="1">
      <c r="A4" t="s">
        <v>76</v>
      </c>
      <c r="E4" s="15"/>
    </row>
    <row r="5" spans="1:18" ht="10.199999999999999" customHeight="1">
      <c r="A5" t="s">
        <v>77</v>
      </c>
      <c r="B5" s="15">
        <v>131.161</v>
      </c>
      <c r="C5" s="15">
        <v>242.12200000000001</v>
      </c>
      <c r="D5" s="15">
        <v>222.251</v>
      </c>
      <c r="E5" s="15">
        <v>128.428</v>
      </c>
      <c r="F5" s="15">
        <v>185.96899999999999</v>
      </c>
      <c r="G5" s="15">
        <v>165</v>
      </c>
      <c r="H5" s="15">
        <v>165.34665000000001</v>
      </c>
      <c r="I5" s="15">
        <v>165.34665000000001</v>
      </c>
      <c r="J5" s="15">
        <v>165.34665000000001</v>
      </c>
      <c r="K5" s="15">
        <v>165.34665000000001</v>
      </c>
      <c r="L5" s="226">
        <v>165.34665000000001</v>
      </c>
      <c r="M5" s="226">
        <v>185.96899999999999</v>
      </c>
      <c r="N5" s="226">
        <v>165</v>
      </c>
      <c r="O5" s="226">
        <v>133.905</v>
      </c>
      <c r="P5" s="352">
        <v>62.790999999999997</v>
      </c>
    </row>
    <row r="6" spans="1:18" ht="10.199999999999999" customHeight="1">
      <c r="A6" t="s">
        <v>78</v>
      </c>
      <c r="B6" s="15">
        <v>152.87799999999999</v>
      </c>
      <c r="C6" s="15">
        <v>155.54599999999999</v>
      </c>
      <c r="D6" s="15">
        <v>199.88499999999999</v>
      </c>
      <c r="E6" s="15">
        <v>178.65700000000001</v>
      </c>
      <c r="F6" s="15">
        <v>205.36099999999999</v>
      </c>
      <c r="G6" s="15">
        <v>285.8</v>
      </c>
      <c r="H6" s="15">
        <v>138.82400000000001</v>
      </c>
      <c r="I6" s="15">
        <v>240</v>
      </c>
      <c r="J6" s="15">
        <v>165</v>
      </c>
      <c r="K6" s="15">
        <v>165</v>
      </c>
      <c r="L6" s="226">
        <v>165</v>
      </c>
      <c r="M6" s="226">
        <v>165</v>
      </c>
      <c r="N6" s="226">
        <v>165</v>
      </c>
      <c r="O6" s="226">
        <v>127.15</v>
      </c>
      <c r="P6" s="352">
        <v>104.453</v>
      </c>
    </row>
    <row r="7" spans="1:18" ht="10.199999999999999" customHeight="1">
      <c r="A7" t="s">
        <v>79</v>
      </c>
      <c r="B7" s="15">
        <v>109.035</v>
      </c>
      <c r="C7" s="15">
        <v>76.353999999999999</v>
      </c>
      <c r="D7" s="15">
        <v>101.137</v>
      </c>
      <c r="E7" s="15">
        <v>99.427000000000007</v>
      </c>
      <c r="F7" s="15">
        <v>146.60499999999999</v>
      </c>
      <c r="G7" s="15">
        <v>121.1</v>
      </c>
      <c r="H7" s="15">
        <v>92.539000000000001</v>
      </c>
      <c r="I7" s="15">
        <v>165</v>
      </c>
      <c r="J7" s="15">
        <v>100</v>
      </c>
      <c r="K7" s="15">
        <v>115</v>
      </c>
      <c r="L7" s="226">
        <v>90</v>
      </c>
      <c r="M7" s="226">
        <v>58</v>
      </c>
      <c r="N7" s="226">
        <v>41.546999999999997</v>
      </c>
      <c r="O7" s="226">
        <v>44.128999999999998</v>
      </c>
      <c r="P7" s="352">
        <v>32.087000000000003</v>
      </c>
    </row>
    <row r="8" spans="1:18" ht="10.199999999999999" customHeight="1">
      <c r="A8" t="s">
        <v>80</v>
      </c>
      <c r="B8" s="15">
        <v>11.36</v>
      </c>
      <c r="C8" s="15">
        <v>12.827</v>
      </c>
      <c r="D8" s="15">
        <v>11.41</v>
      </c>
      <c r="E8" s="15">
        <v>9.3859999999999992</v>
      </c>
      <c r="F8" s="15">
        <v>17.876000000000001</v>
      </c>
      <c r="G8" s="15">
        <v>30.3</v>
      </c>
      <c r="H8" s="15">
        <v>21.734999999999999</v>
      </c>
      <c r="I8" s="15">
        <v>25</v>
      </c>
      <c r="J8" s="15">
        <v>20</v>
      </c>
      <c r="K8" s="15">
        <v>20</v>
      </c>
      <c r="L8" s="226">
        <v>20</v>
      </c>
      <c r="M8" s="226">
        <v>6.4359999999999999</v>
      </c>
      <c r="N8" s="226">
        <v>9.1440000000000001</v>
      </c>
      <c r="O8" s="226">
        <v>5.4009999999999998</v>
      </c>
      <c r="P8" s="352">
        <v>13.111000000000001</v>
      </c>
    </row>
    <row r="9" spans="1:18" ht="10.199999999999999" customHeight="1">
      <c r="A9" t="s">
        <v>81</v>
      </c>
      <c r="B9" s="15">
        <v>141.15</v>
      </c>
      <c r="C9" s="15">
        <v>168.51499999999999</v>
      </c>
      <c r="D9" s="15">
        <v>207.16900000000001</v>
      </c>
      <c r="E9" s="15">
        <v>201.679</v>
      </c>
      <c r="F9" s="15">
        <v>161.304</v>
      </c>
      <c r="G9" s="15">
        <v>285.70100000000002</v>
      </c>
      <c r="H9" s="15">
        <v>332.22</v>
      </c>
      <c r="I9" s="15">
        <v>325</v>
      </c>
      <c r="J9" s="15">
        <v>364.15100000000001</v>
      </c>
      <c r="K9" s="15">
        <v>299.82859200000001</v>
      </c>
      <c r="L9" s="226">
        <v>299.82859200000001</v>
      </c>
      <c r="M9" s="226">
        <v>332.22</v>
      </c>
      <c r="N9" s="226">
        <v>325</v>
      </c>
      <c r="O9" s="226">
        <v>364.15100000000001</v>
      </c>
      <c r="P9" s="352">
        <v>417.024</v>
      </c>
    </row>
    <row r="10" spans="1:18" ht="10.199999999999999" customHeight="1">
      <c r="A10" t="s">
        <v>82</v>
      </c>
      <c r="B10" s="15">
        <v>64.033000000000001</v>
      </c>
      <c r="C10" s="15">
        <v>81.372</v>
      </c>
      <c r="D10" s="15">
        <v>78.2</v>
      </c>
      <c r="E10" s="15">
        <v>94.260999999999996</v>
      </c>
      <c r="F10" s="15">
        <v>72.483000000000004</v>
      </c>
      <c r="G10" s="15">
        <v>76.221000000000004</v>
      </c>
      <c r="H10" s="15">
        <v>73.968999999999994</v>
      </c>
      <c r="I10" s="15">
        <v>80</v>
      </c>
      <c r="J10" s="15">
        <v>81.571014000000005</v>
      </c>
      <c r="K10" s="15">
        <v>74.957148000000004</v>
      </c>
      <c r="L10" s="226">
        <v>74.957148000000004</v>
      </c>
      <c r="M10" s="226">
        <v>73.968999999999994</v>
      </c>
      <c r="N10" s="226">
        <v>80</v>
      </c>
      <c r="O10" s="226">
        <v>86.718999999999994</v>
      </c>
      <c r="P10" s="352">
        <v>94.899000000000001</v>
      </c>
    </row>
    <row r="11" spans="1:18" ht="10.199999999999999" customHeight="1">
      <c r="A11" t="s">
        <v>397</v>
      </c>
      <c r="B11" s="15">
        <v>99.144000000000005</v>
      </c>
      <c r="C11" s="15">
        <v>60.3</v>
      </c>
      <c r="D11" s="15">
        <v>36.084000000000003</v>
      </c>
      <c r="E11" s="15">
        <v>22.276</v>
      </c>
      <c r="F11" s="15">
        <v>24.164999999999999</v>
      </c>
      <c r="G11" s="15">
        <v>18.099</v>
      </c>
      <c r="H11" s="15">
        <v>21.658999999999999</v>
      </c>
      <c r="I11" s="15">
        <v>29.669</v>
      </c>
      <c r="J11" s="15">
        <v>12.39</v>
      </c>
      <c r="K11" s="15">
        <v>20</v>
      </c>
      <c r="L11" s="226">
        <v>25</v>
      </c>
      <c r="M11" s="226">
        <v>16.925999999999998</v>
      </c>
      <c r="N11" s="226">
        <v>20</v>
      </c>
      <c r="O11" s="226">
        <v>25</v>
      </c>
      <c r="P11" s="352">
        <v>53.930999999999997</v>
      </c>
    </row>
    <row r="12" spans="1:18" ht="10.199999999999999" customHeight="1">
      <c r="A12" t="s">
        <v>83</v>
      </c>
      <c r="B12" s="15">
        <v>24.294</v>
      </c>
      <c r="C12" s="15">
        <v>10.695</v>
      </c>
      <c r="D12" s="15">
        <v>14.4</v>
      </c>
      <c r="E12" s="15">
        <v>18.242999999999999</v>
      </c>
      <c r="F12" s="15">
        <v>22.2</v>
      </c>
      <c r="G12" s="15">
        <v>25.7</v>
      </c>
      <c r="H12" s="15">
        <v>20.646000000000001</v>
      </c>
      <c r="I12" s="15">
        <v>20.260276671126679</v>
      </c>
      <c r="J12" s="15">
        <v>18.504230203077462</v>
      </c>
      <c r="K12" s="15">
        <v>17.661297637807699</v>
      </c>
      <c r="L12" s="226">
        <v>15.369059985793312</v>
      </c>
      <c r="M12" s="226">
        <v>12.482448931415117</v>
      </c>
      <c r="N12" s="226">
        <v>10.892017436132459</v>
      </c>
      <c r="O12" s="226">
        <v>10.433209689656714</v>
      </c>
      <c r="P12" s="352">
        <v>10.855</v>
      </c>
    </row>
    <row r="13" spans="1:18" ht="10.199999999999999" customHeight="1">
      <c r="A13" t="s">
        <v>84</v>
      </c>
      <c r="B13" s="15">
        <v>1075.6310000000001</v>
      </c>
      <c r="C13" s="15">
        <v>1699.03</v>
      </c>
      <c r="D13" s="15">
        <v>3009.826</v>
      </c>
      <c r="E13" s="15">
        <v>3085.2249999999999</v>
      </c>
      <c r="F13" s="15">
        <v>2484.5970000000002</v>
      </c>
      <c r="G13" s="15">
        <v>2860.5</v>
      </c>
      <c r="H13" s="15">
        <v>3405.78</v>
      </c>
      <c r="I13" s="15">
        <v>2675.0010299999999</v>
      </c>
      <c r="J13" s="15">
        <v>2589.6953916000002</v>
      </c>
      <c r="K13" s="15">
        <v>1654.972092</v>
      </c>
      <c r="L13" s="226">
        <v>1165.01028</v>
      </c>
      <c r="M13" s="226">
        <v>1854.818</v>
      </c>
      <c r="N13" s="226">
        <v>1686.8130000000001</v>
      </c>
      <c r="O13" s="226">
        <v>1710.954</v>
      </c>
      <c r="P13" s="352">
        <v>1990.0409999999999</v>
      </c>
    </row>
    <row r="14" spans="1:18" ht="10.199999999999999" customHeight="1">
      <c r="A14" t="s">
        <v>85</v>
      </c>
      <c r="B14" s="15">
        <v>39.9</v>
      </c>
      <c r="C14" s="15">
        <v>22.295000000000002</v>
      </c>
      <c r="D14" s="15">
        <v>54.106000000000002</v>
      </c>
      <c r="E14" s="15">
        <v>59.9</v>
      </c>
      <c r="F14" s="15">
        <v>26.324999999999999</v>
      </c>
      <c r="G14" s="15">
        <v>111.1</v>
      </c>
      <c r="H14" s="15">
        <v>83.447000000000003</v>
      </c>
      <c r="I14" s="15">
        <v>60</v>
      </c>
      <c r="J14" s="15">
        <v>50</v>
      </c>
      <c r="K14" s="15">
        <v>50</v>
      </c>
      <c r="L14" s="226">
        <v>50</v>
      </c>
      <c r="M14" s="226">
        <v>50</v>
      </c>
      <c r="N14" s="226">
        <v>75.756</v>
      </c>
      <c r="O14" s="226">
        <v>90.813999999999993</v>
      </c>
      <c r="P14" s="352">
        <v>72.441999999999993</v>
      </c>
    </row>
    <row r="15" spans="1:18" ht="10.199999999999999" customHeight="1">
      <c r="A15" t="s">
        <v>86</v>
      </c>
      <c r="B15" s="15">
        <v>91.397999999999996</v>
      </c>
      <c r="C15" s="15">
        <v>127.98399999999999</v>
      </c>
      <c r="D15" s="15">
        <v>263.5</v>
      </c>
      <c r="E15" s="15">
        <v>149.19999999999999</v>
      </c>
      <c r="F15" s="15">
        <v>133</v>
      </c>
      <c r="G15" s="15">
        <v>171.8</v>
      </c>
      <c r="H15" s="15">
        <v>193.732</v>
      </c>
      <c r="I15" s="15">
        <v>299</v>
      </c>
      <c r="J15" s="15">
        <v>188</v>
      </c>
      <c r="K15" s="15">
        <v>140</v>
      </c>
      <c r="L15" s="226">
        <v>275</v>
      </c>
      <c r="M15" s="226">
        <v>267</v>
      </c>
      <c r="N15" s="226">
        <v>252.78300000000002</v>
      </c>
      <c r="O15" s="226">
        <v>294.80700000000002</v>
      </c>
      <c r="P15" s="352">
        <v>194.56799999999998</v>
      </c>
    </row>
    <row r="16" spans="1:18" ht="10.199999999999999" customHeight="1">
      <c r="A16" t="s">
        <v>87</v>
      </c>
      <c r="B16" s="15">
        <v>20.718</v>
      </c>
      <c r="C16" s="15">
        <v>22.114999999999998</v>
      </c>
      <c r="D16" s="15">
        <v>35.1</v>
      </c>
      <c r="E16" s="15">
        <v>27.076000000000001</v>
      </c>
      <c r="F16" s="15">
        <v>31.2</v>
      </c>
      <c r="G16" s="15">
        <v>47.5</v>
      </c>
      <c r="H16" s="15">
        <v>32.637999999999998</v>
      </c>
      <c r="I16" s="15">
        <v>35</v>
      </c>
      <c r="J16" s="15">
        <v>30</v>
      </c>
      <c r="K16" s="15">
        <v>30</v>
      </c>
      <c r="L16" s="226">
        <v>30</v>
      </c>
      <c r="M16" s="226">
        <v>39.029000000000003</v>
      </c>
      <c r="N16" s="226">
        <v>30.198</v>
      </c>
      <c r="O16" s="226">
        <v>23.69</v>
      </c>
      <c r="P16" s="352">
        <v>31.361999999999998</v>
      </c>
    </row>
    <row r="17" spans="1:18" ht="10.199999999999999" customHeight="1">
      <c r="A17" s="107" t="s">
        <v>390</v>
      </c>
      <c r="B17" s="15">
        <f t="shared" ref="B17:L17" si="0">SUM(B5:B16)</f>
        <v>1960.7020000000002</v>
      </c>
      <c r="C17" s="15">
        <f t="shared" si="0"/>
        <v>2679.1549999999997</v>
      </c>
      <c r="D17" s="15">
        <f t="shared" si="0"/>
        <v>4233.0680000000011</v>
      </c>
      <c r="E17" s="15">
        <f t="shared" si="0"/>
        <v>4073.7579999999998</v>
      </c>
      <c r="F17" s="15">
        <f t="shared" si="0"/>
        <v>3511.085</v>
      </c>
      <c r="G17" s="15">
        <f t="shared" si="0"/>
        <v>4198.8209999999999</v>
      </c>
      <c r="H17" s="15">
        <f t="shared" si="0"/>
        <v>4582.5356499999998</v>
      </c>
      <c r="I17" s="15">
        <f t="shared" si="0"/>
        <v>4119.2769566711268</v>
      </c>
      <c r="J17" s="15">
        <f t="shared" si="0"/>
        <v>3784.6582858030779</v>
      </c>
      <c r="K17" s="15">
        <f t="shared" si="0"/>
        <v>2752.7657796378076</v>
      </c>
      <c r="L17" s="226">
        <f t="shared" si="0"/>
        <v>2375.5117299857934</v>
      </c>
      <c r="M17" s="15">
        <v>3061.8494489314153</v>
      </c>
      <c r="N17" s="15">
        <v>2862.1330174361324</v>
      </c>
      <c r="O17" s="15">
        <v>2917.1532096896567</v>
      </c>
      <c r="P17" s="352">
        <v>3077.5639999999999</v>
      </c>
      <c r="Q17" s="15"/>
      <c r="R17" s="15"/>
    </row>
    <row r="18" spans="1:18" ht="10.199999999999999" customHeight="1">
      <c r="A18" t="s">
        <v>88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6"/>
      <c r="M18" s="226"/>
      <c r="N18" s="226"/>
      <c r="O18" s="226"/>
      <c r="P18" s="353"/>
    </row>
    <row r="19" spans="1:18" ht="10.199999999999999" customHeight="1">
      <c r="A19" s="107" t="s">
        <v>77</v>
      </c>
      <c r="B19" s="15">
        <v>931.11788425811415</v>
      </c>
      <c r="C19" s="15">
        <v>1110.9614347355705</v>
      </c>
      <c r="D19" s="15">
        <v>914.86630374602407</v>
      </c>
      <c r="E19" s="15">
        <v>1182.492158561784</v>
      </c>
      <c r="F19" s="15">
        <v>958.176299147382</v>
      </c>
      <c r="G19" s="15">
        <v>1334.3966770722843</v>
      </c>
      <c r="H19" s="15">
        <v>1077.0048054486001</v>
      </c>
      <c r="I19" s="15">
        <v>1161.5172239163778</v>
      </c>
      <c r="J19" s="15">
        <v>1213.7606981966339</v>
      </c>
      <c r="K19" s="15">
        <v>1168.692646822974</v>
      </c>
      <c r="L19" s="226">
        <v>1266.936028717716</v>
      </c>
      <c r="M19" s="226">
        <v>1149.1401519289439</v>
      </c>
      <c r="N19" s="226">
        <v>1036.2368582628299</v>
      </c>
      <c r="O19" s="226">
        <v>991.16096284409412</v>
      </c>
      <c r="P19" s="226">
        <v>1014.12612</v>
      </c>
    </row>
    <row r="20" spans="1:18" ht="10.199999999999999" customHeight="1">
      <c r="A20" s="107" t="s">
        <v>78</v>
      </c>
      <c r="B20" s="15">
        <v>49.0514064957</v>
      </c>
      <c r="C20" s="15">
        <v>45.018266599656002</v>
      </c>
      <c r="D20" s="15">
        <v>43.093466247005999</v>
      </c>
      <c r="E20" s="15">
        <v>45.188242955856005</v>
      </c>
      <c r="F20" s="15">
        <v>43.485108526818003</v>
      </c>
      <c r="G20" s="15">
        <v>37.046113143858008</v>
      </c>
      <c r="H20" s="15">
        <v>47.564953339931989</v>
      </c>
      <c r="I20" s="15">
        <v>45.753717475746001</v>
      </c>
      <c r="J20" s="15">
        <v>60.04575499708799</v>
      </c>
      <c r="K20" s="15">
        <v>42.076685762118004</v>
      </c>
      <c r="L20" s="226">
        <v>38.809559416950002</v>
      </c>
      <c r="M20" s="226">
        <v>82.835172914886016</v>
      </c>
      <c r="N20" s="226">
        <v>73</v>
      </c>
      <c r="O20" s="226">
        <v>62.283047290506005</v>
      </c>
      <c r="P20" s="226">
        <v>60</v>
      </c>
    </row>
    <row r="21" spans="1:18" ht="10.199999999999999" customHeight="1">
      <c r="A21" s="107" t="s">
        <v>79</v>
      </c>
      <c r="B21" s="15">
        <v>1.621691283114</v>
      </c>
      <c r="C21" s="15">
        <v>1.4005368318060001</v>
      </c>
      <c r="D21" s="15">
        <v>1.317682727802</v>
      </c>
      <c r="E21" s="15">
        <v>5.0926768200000002E-3</v>
      </c>
      <c r="F21" s="15">
        <v>9.5998060368000002E-2</v>
      </c>
      <c r="G21" s="15">
        <v>9.9728280791999996E-2</v>
      </c>
      <c r="H21" s="15">
        <v>0.20214620042399997</v>
      </c>
      <c r="I21" s="15">
        <v>10.347106756139999</v>
      </c>
      <c r="J21" s="15">
        <v>19.917408336714001</v>
      </c>
      <c r="K21" s="15">
        <v>31.952836666674003</v>
      </c>
      <c r="L21" s="226">
        <v>17.423747164782</v>
      </c>
      <c r="M21" s="226">
        <v>6.6169480615559984</v>
      </c>
      <c r="N21" s="226">
        <v>0.121953075174</v>
      </c>
      <c r="O21" s="226">
        <v>0.16077867321600001</v>
      </c>
      <c r="P21" s="226">
        <v>1</v>
      </c>
    </row>
    <row r="22" spans="1:18" ht="10.199999999999999" customHeight="1">
      <c r="A22" s="107" t="s">
        <v>80</v>
      </c>
      <c r="B22" s="15">
        <v>4.8391011975599998</v>
      </c>
      <c r="C22" s="15">
        <v>6.7823696687039998</v>
      </c>
      <c r="D22" s="15">
        <v>8.7463351311840007</v>
      </c>
      <c r="E22" s="15">
        <v>6.1739645446080003</v>
      </c>
      <c r="F22" s="15">
        <v>15.400719878922001</v>
      </c>
      <c r="G22" s="15">
        <v>15.920970987726001</v>
      </c>
      <c r="H22" s="15">
        <v>13.596536600514</v>
      </c>
      <c r="I22" s="15">
        <v>13.687206089508001</v>
      </c>
      <c r="J22" s="15">
        <v>14.477494733226001</v>
      </c>
      <c r="K22" s="15">
        <v>16.064269213104001</v>
      </c>
      <c r="L22" s="226">
        <v>13.724539158456002</v>
      </c>
      <c r="M22" s="226">
        <v>11.225260609668</v>
      </c>
      <c r="N22" s="226">
        <v>11.009948406660001</v>
      </c>
      <c r="O22" s="226">
        <v>16.306019243135999</v>
      </c>
      <c r="P22" s="226">
        <v>15</v>
      </c>
    </row>
    <row r="23" spans="1:18" ht="10.199999999999999" customHeight="1">
      <c r="A23" s="107" t="s">
        <v>334</v>
      </c>
      <c r="B23" s="15">
        <v>547.14141465190198</v>
      </c>
      <c r="C23" s="15">
        <v>534.57860767021202</v>
      </c>
      <c r="D23" s="15">
        <v>577.63620030803406</v>
      </c>
      <c r="E23" s="15">
        <v>582.66148844735994</v>
      </c>
      <c r="F23" s="15">
        <v>608.92835078311737</v>
      </c>
      <c r="G23" s="15">
        <v>591.2425210209841</v>
      </c>
      <c r="H23" s="15">
        <v>640.40612734413003</v>
      </c>
      <c r="I23" s="15">
        <v>696.05580875304611</v>
      </c>
      <c r="J23" s="15">
        <v>653.46774548567407</v>
      </c>
      <c r="K23" s="15">
        <v>686.72186469709209</v>
      </c>
      <c r="L23" s="226">
        <v>684.03296661008392</v>
      </c>
      <c r="M23" s="226">
        <v>728.57575356451196</v>
      </c>
      <c r="N23" s="226">
        <v>696.28102191345602</v>
      </c>
      <c r="O23" s="226">
        <v>709.14551818811412</v>
      </c>
      <c r="P23" s="226">
        <v>740.75299200000006</v>
      </c>
    </row>
    <row r="24" spans="1:18" ht="10.199999999999999" customHeight="1">
      <c r="A24" s="107" t="s">
        <v>81</v>
      </c>
      <c r="B24" s="15">
        <v>769.37801789633397</v>
      </c>
      <c r="C24" s="15">
        <v>1313.9341979922904</v>
      </c>
      <c r="D24" s="15">
        <v>1548.4957361184781</v>
      </c>
      <c r="E24" s="15">
        <v>2098.1183073263278</v>
      </c>
      <c r="F24" s="15">
        <v>2283.8647876629479</v>
      </c>
      <c r="G24" s="15">
        <v>2192.3852544074884</v>
      </c>
      <c r="H24" s="15">
        <v>2160.140408943048</v>
      </c>
      <c r="I24" s="15">
        <v>2275.2666648595805</v>
      </c>
      <c r="J24" s="15">
        <v>2849.8716598319093</v>
      </c>
      <c r="K24" s="15">
        <v>2689.7602485335406</v>
      </c>
      <c r="L24" s="226">
        <v>2519.4272770880639</v>
      </c>
      <c r="M24" s="226">
        <v>2881.8164694698821</v>
      </c>
      <c r="N24" s="226">
        <v>3012.7482425246226</v>
      </c>
      <c r="O24" s="226">
        <v>3370.7710641904746</v>
      </c>
      <c r="P24" s="226">
        <v>3306.933</v>
      </c>
    </row>
    <row r="25" spans="1:18" ht="10.199999999999999" customHeight="1">
      <c r="A25" s="107" t="s">
        <v>82</v>
      </c>
      <c r="B25" s="15">
        <v>520.31971884526206</v>
      </c>
      <c r="C25" s="15">
        <v>529.56732549445189</v>
      </c>
      <c r="D25" s="15">
        <v>658.12460601484815</v>
      </c>
      <c r="E25" s="15">
        <v>504.59156630227801</v>
      </c>
      <c r="F25" s="15">
        <v>744.09085143741618</v>
      </c>
      <c r="G25" s="15">
        <v>664.94505832397999</v>
      </c>
      <c r="H25" s="15">
        <v>630.62821430519409</v>
      </c>
      <c r="I25" s="15">
        <v>671.07864742128004</v>
      </c>
      <c r="J25" s="15">
        <v>604.48826257810197</v>
      </c>
      <c r="K25" s="15">
        <v>593.22941014302012</v>
      </c>
      <c r="L25" s="226">
        <v>672.70219058687405</v>
      </c>
      <c r="M25" s="226">
        <v>782.7090606878761</v>
      </c>
      <c r="N25" s="226">
        <v>790.80811879985993</v>
      </c>
      <c r="O25" s="226">
        <v>830.51490866450411</v>
      </c>
      <c r="P25" s="226">
        <v>864.21182399999998</v>
      </c>
    </row>
    <row r="26" spans="1:18" ht="10.199999999999999" customHeight="1">
      <c r="A26" t="s">
        <v>397</v>
      </c>
      <c r="B26" s="15">
        <v>55.077365946960015</v>
      </c>
      <c r="C26" s="15">
        <v>61.926299767709992</v>
      </c>
      <c r="D26" s="15">
        <v>104.62311483372</v>
      </c>
      <c r="E26" s="15">
        <v>75.546055447127998</v>
      </c>
      <c r="F26" s="15">
        <v>54.304908285978001</v>
      </c>
      <c r="G26" s="15">
        <v>73.18414909978199</v>
      </c>
      <c r="H26" s="15">
        <v>60.011653903992013</v>
      </c>
      <c r="I26" s="15">
        <v>28.289508883398003</v>
      </c>
      <c r="J26" s="15">
        <v>10.359457048584002</v>
      </c>
      <c r="K26" s="15">
        <v>55.264873457303999</v>
      </c>
      <c r="L26" s="226">
        <v>30.173854422347997</v>
      </c>
      <c r="M26" s="226">
        <v>93.313743485507999</v>
      </c>
      <c r="N26" s="226">
        <v>40.446451568754</v>
      </c>
      <c r="O26" s="226">
        <v>71.353726410329998</v>
      </c>
      <c r="P26" s="226">
        <v>60</v>
      </c>
    </row>
    <row r="27" spans="1:18" ht="10.199999999999999" customHeight="1">
      <c r="A27" s="107" t="s">
        <v>86</v>
      </c>
      <c r="B27" s="15">
        <v>1133.2470000000001</v>
      </c>
      <c r="C27" s="15">
        <v>1597.797</v>
      </c>
      <c r="D27" s="15">
        <v>1567.806</v>
      </c>
      <c r="E27" s="15">
        <v>2240.6689999999999</v>
      </c>
      <c r="F27" s="15">
        <v>2315.194</v>
      </c>
      <c r="G27" s="15">
        <v>2350.9380000000001</v>
      </c>
      <c r="H27" s="15">
        <v>3130.9859999999999</v>
      </c>
      <c r="I27" s="15">
        <v>3288.7330000000002</v>
      </c>
      <c r="J27" s="15">
        <v>2760.56</v>
      </c>
      <c r="K27" s="15">
        <v>3385.470621679272</v>
      </c>
      <c r="L27" s="226">
        <v>3691.5499652081398</v>
      </c>
      <c r="M27" s="226">
        <v>3961.8025521797517</v>
      </c>
      <c r="N27" s="226">
        <v>4405.5075550462452</v>
      </c>
      <c r="O27" s="226">
        <v>4078.4122709027711</v>
      </c>
      <c r="P27" s="226">
        <v>4176</v>
      </c>
    </row>
    <row r="28" spans="1:18" ht="10.199999999999999" customHeight="1">
      <c r="A28" s="107" t="s">
        <v>83</v>
      </c>
      <c r="B28" s="15">
        <v>57.784915136087996</v>
      </c>
      <c r="C28" s="15">
        <v>56.301903395262002</v>
      </c>
      <c r="D28" s="15">
        <v>58.459417032366005</v>
      </c>
      <c r="E28" s="15">
        <v>62.82548791974002</v>
      </c>
      <c r="F28" s="15">
        <v>38.418426404819996</v>
      </c>
      <c r="G28" s="15">
        <v>45.764037311328003</v>
      </c>
      <c r="H28" s="15">
        <v>56.512433773152004</v>
      </c>
      <c r="I28" s="15">
        <v>66.042168104303997</v>
      </c>
      <c r="J28" s="15">
        <v>67.685760102366004</v>
      </c>
      <c r="K28" s="15">
        <v>60.65651465748001</v>
      </c>
      <c r="L28" s="226">
        <v>46.547570993237997</v>
      </c>
      <c r="M28" s="226">
        <v>32.019612462431994</v>
      </c>
      <c r="N28" s="226">
        <v>29.338333549056006</v>
      </c>
      <c r="O28" s="226">
        <v>32.467044906576</v>
      </c>
      <c r="P28" s="226">
        <v>32</v>
      </c>
    </row>
    <row r="29" spans="1:18" ht="10.199999999999999" customHeight="1">
      <c r="A29" s="107" t="s">
        <v>365</v>
      </c>
      <c r="B29" s="15">
        <v>26.006027554458001</v>
      </c>
      <c r="C29" s="15">
        <v>25.978000194972001</v>
      </c>
      <c r="D29" s="15">
        <v>26.480768651316001</v>
      </c>
      <c r="E29" s="15">
        <v>27.805995595601999</v>
      </c>
      <c r="F29" s="15">
        <v>23.613589397034001</v>
      </c>
      <c r="G29" s="15">
        <v>31.416344107596</v>
      </c>
      <c r="H29" s="15">
        <v>27.768340651842006</v>
      </c>
      <c r="I29" s="15">
        <v>27.526328271791996</v>
      </c>
      <c r="J29" s="15">
        <v>29.380979757024001</v>
      </c>
      <c r="K29" s="15">
        <v>28.898884041174</v>
      </c>
      <c r="L29" s="226">
        <v>33.845359148622002</v>
      </c>
      <c r="M29" s="226">
        <v>33.852872500398007</v>
      </c>
      <c r="N29" s="226">
        <v>38.313230661467998</v>
      </c>
      <c r="O29" s="226">
        <v>42.033320847377993</v>
      </c>
      <c r="P29" s="226">
        <v>44.533320847377993</v>
      </c>
    </row>
    <row r="30" spans="1:18" ht="10.199999999999999" customHeight="1">
      <c r="A30" s="107" t="s">
        <v>84</v>
      </c>
      <c r="B30" s="15">
        <v>26.268284978333998</v>
      </c>
      <c r="C30" s="15">
        <v>35.337008598444001</v>
      </c>
      <c r="D30" s="15">
        <v>37.473177085344005</v>
      </c>
      <c r="E30" s="15">
        <v>65.355102067247998</v>
      </c>
      <c r="F30" s="15">
        <v>89.577464760251985</v>
      </c>
      <c r="G30" s="15">
        <v>102.57960440485799</v>
      </c>
      <c r="H30" s="15">
        <v>159.00528189306598</v>
      </c>
      <c r="I30" s="15">
        <v>149.136403945788</v>
      </c>
      <c r="J30" s="15">
        <v>195.58962152667002</v>
      </c>
      <c r="K30" s="15">
        <v>165.03883626711601</v>
      </c>
      <c r="L30" s="226">
        <v>264.32139319702196</v>
      </c>
      <c r="M30" s="226">
        <v>286.55315418454205</v>
      </c>
      <c r="N30" s="226">
        <v>318.70876757353204</v>
      </c>
      <c r="O30" s="226">
        <v>335.40963241224603</v>
      </c>
      <c r="P30" s="226">
        <v>300</v>
      </c>
    </row>
    <row r="31" spans="1:18" ht="10.199999999999999" customHeight="1">
      <c r="A31" s="107" t="s">
        <v>85</v>
      </c>
      <c r="B31" s="15">
        <v>75.400999999999996</v>
      </c>
      <c r="C31" s="15">
        <v>56.463000000000001</v>
      </c>
      <c r="D31" s="15">
        <v>155.797</v>
      </c>
      <c r="E31" s="15">
        <v>103.49299999999999</v>
      </c>
      <c r="F31" s="15">
        <v>67.033000000000001</v>
      </c>
      <c r="G31" s="15">
        <v>48.64</v>
      </c>
      <c r="H31" s="15">
        <v>102.559</v>
      </c>
      <c r="I31" s="15">
        <v>162.607</v>
      </c>
      <c r="J31" s="15">
        <v>71.561000000000007</v>
      </c>
      <c r="K31" s="15">
        <v>76.427000000000007</v>
      </c>
      <c r="L31" s="226">
        <v>176.88200000000001</v>
      </c>
      <c r="M31" s="226">
        <v>92.754000000000005</v>
      </c>
      <c r="N31" s="226">
        <v>119.83799999999999</v>
      </c>
      <c r="O31" s="226">
        <v>160.83099999999999</v>
      </c>
      <c r="P31" s="226">
        <v>150</v>
      </c>
    </row>
    <row r="32" spans="1:18" ht="10.199999999999999" customHeight="1">
      <c r="A32" s="107" t="s">
        <v>87</v>
      </c>
      <c r="B32" s="15">
        <v>0.67173730029000001</v>
      </c>
      <c r="C32" s="15">
        <v>5.1322211248140004</v>
      </c>
      <c r="D32" s="15">
        <v>6.0849330897599998</v>
      </c>
      <c r="E32" s="15">
        <v>27.554831829629997</v>
      </c>
      <c r="F32" s="15">
        <v>32.780619316745998</v>
      </c>
      <c r="G32" s="15">
        <v>27.866937961547997</v>
      </c>
      <c r="H32" s="15">
        <v>22.629413066904</v>
      </c>
      <c r="I32" s="15">
        <v>47.323150398972004</v>
      </c>
      <c r="J32" s="15">
        <v>49.670060907474003</v>
      </c>
      <c r="K32" s="15">
        <v>50.91656080013999</v>
      </c>
      <c r="L32" s="226">
        <v>45.465145683678003</v>
      </c>
      <c r="M32" s="226">
        <v>59.329345441211998</v>
      </c>
      <c r="N32" s="226">
        <v>67.648054452300002</v>
      </c>
      <c r="O32" s="226">
        <v>44.637049977281997</v>
      </c>
      <c r="P32" s="226">
        <v>35</v>
      </c>
    </row>
    <row r="33" spans="1:16" ht="10.199999999999999" customHeight="1">
      <c r="A33" s="107" t="s">
        <v>391</v>
      </c>
      <c r="B33" s="15">
        <f t="shared" ref="B33:L33" si="1">SUM(B19:B32)</f>
        <v>4197.9255655441157</v>
      </c>
      <c r="C33" s="15">
        <f t="shared" si="1"/>
        <v>5381.1781720738936</v>
      </c>
      <c r="D33" s="15">
        <f t="shared" si="1"/>
        <v>5709.0047409858826</v>
      </c>
      <c r="E33" s="15">
        <f t="shared" si="1"/>
        <v>7022.4802936743818</v>
      </c>
      <c r="F33" s="15">
        <f t="shared" si="1"/>
        <v>7274.9641236618018</v>
      </c>
      <c r="G33" s="15">
        <f t="shared" si="1"/>
        <v>7516.4253961222257</v>
      </c>
      <c r="H33" s="15">
        <f t="shared" si="1"/>
        <v>8129.0153154707978</v>
      </c>
      <c r="I33" s="15">
        <f t="shared" si="1"/>
        <v>8643.3639348759316</v>
      </c>
      <c r="J33" s="15">
        <f t="shared" si="1"/>
        <v>8600.8359035014655</v>
      </c>
      <c r="K33" s="15">
        <f t="shared" si="1"/>
        <v>9051.1712527410091</v>
      </c>
      <c r="L33" s="226">
        <f t="shared" si="1"/>
        <v>9501.8415973959745</v>
      </c>
      <c r="M33" s="226">
        <v>10202.544097491169</v>
      </c>
      <c r="N33" s="226">
        <v>10640.006535833958</v>
      </c>
      <c r="O33" s="226">
        <v>10745.486344550629</v>
      </c>
      <c r="P33" s="226">
        <v>10799.557256847378</v>
      </c>
    </row>
    <row r="34" spans="1:16" ht="10.199999999999999" customHeight="1">
      <c r="A34" t="s">
        <v>66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26"/>
      <c r="M34" s="226"/>
      <c r="N34" s="226"/>
      <c r="O34" s="226"/>
    </row>
    <row r="35" spans="1:16" ht="10.199999999999999" customHeight="1">
      <c r="A35" t="s">
        <v>78</v>
      </c>
      <c r="B35" s="15">
        <v>2396.105</v>
      </c>
      <c r="C35" s="15">
        <v>2482.7339999999999</v>
      </c>
      <c r="D35" s="15">
        <v>2560.2550000000001</v>
      </c>
      <c r="E35" s="15">
        <v>2506.8400499999998</v>
      </c>
      <c r="F35" s="15">
        <v>2418.4557500000001</v>
      </c>
      <c r="G35" s="15">
        <v>2485.1489999999999</v>
      </c>
      <c r="H35" s="15">
        <v>3650</v>
      </c>
      <c r="I35" s="15">
        <v>3625</v>
      </c>
      <c r="J35" s="15">
        <v>3685</v>
      </c>
      <c r="K35" s="15">
        <v>3890</v>
      </c>
      <c r="L35" s="226">
        <v>4740</v>
      </c>
      <c r="M35" s="258">
        <v>5300</v>
      </c>
      <c r="N35" s="258">
        <v>5850</v>
      </c>
      <c r="O35" s="226">
        <v>6066.1379999999999</v>
      </c>
      <c r="P35" s="226">
        <v>5850</v>
      </c>
    </row>
    <row r="36" spans="1:16" ht="10.199999999999999" customHeight="1">
      <c r="A36" t="s">
        <v>79</v>
      </c>
      <c r="B36" s="15">
        <v>957.03700000000003</v>
      </c>
      <c r="C36" s="15">
        <v>950.572</v>
      </c>
      <c r="D36" s="15">
        <v>848.70311000000004</v>
      </c>
      <c r="E36" s="15">
        <v>856.2844399999999</v>
      </c>
      <c r="F36" s="15">
        <v>668.67881000000011</v>
      </c>
      <c r="G36" s="15">
        <v>617.29017999999996</v>
      </c>
      <c r="H36" s="15">
        <v>835</v>
      </c>
      <c r="I36" s="15">
        <v>755</v>
      </c>
      <c r="J36" s="15">
        <v>800</v>
      </c>
      <c r="K36" s="15">
        <v>630</v>
      </c>
      <c r="L36" s="226">
        <v>610</v>
      </c>
      <c r="M36" s="258">
        <v>465</v>
      </c>
      <c r="N36" s="258">
        <v>541.625</v>
      </c>
      <c r="O36" s="226">
        <v>561.30100000000004</v>
      </c>
      <c r="P36" s="226">
        <v>590</v>
      </c>
    </row>
    <row r="37" spans="1:16" ht="10.199999999999999" customHeight="1">
      <c r="A37" t="s">
        <v>80</v>
      </c>
      <c r="B37" s="15">
        <v>775.53182000000004</v>
      </c>
      <c r="C37" s="15">
        <v>785.48016399999995</v>
      </c>
      <c r="D37" s="15">
        <v>801.06079200000011</v>
      </c>
      <c r="E37" s="15">
        <v>875.86494800000014</v>
      </c>
      <c r="F37" s="15">
        <v>863.8575679999999</v>
      </c>
      <c r="G37" s="15">
        <v>835.19556399999988</v>
      </c>
      <c r="H37" s="15">
        <v>849.58409199999994</v>
      </c>
      <c r="I37" s="15">
        <v>868.11505199999988</v>
      </c>
      <c r="J37" s="15">
        <v>866.95400400000005</v>
      </c>
      <c r="K37" s="15">
        <v>857.47575199999994</v>
      </c>
      <c r="L37" s="226">
        <v>902.10134000000005</v>
      </c>
      <c r="M37" s="259">
        <v>925.16054400000007</v>
      </c>
      <c r="N37" s="259">
        <v>952.94547599999999</v>
      </c>
      <c r="O37" s="226">
        <v>977.43503200000009</v>
      </c>
      <c r="P37" s="226">
        <v>1015</v>
      </c>
    </row>
    <row r="38" spans="1:16" ht="10.199999999999999" customHeight="1">
      <c r="A38" s="107" t="s">
        <v>334</v>
      </c>
      <c r="B38" s="15">
        <v>4.4092440000000002</v>
      </c>
      <c r="C38" s="15">
        <v>4.4092440000000002</v>
      </c>
      <c r="D38" s="15">
        <v>2.2046220000000001</v>
      </c>
      <c r="E38" s="15">
        <v>4.4092440000000002</v>
      </c>
      <c r="F38" s="15">
        <v>4.4092440000000002</v>
      </c>
      <c r="G38" s="15">
        <v>6.6138659999999998</v>
      </c>
      <c r="H38" s="15">
        <v>11.023110000000001</v>
      </c>
      <c r="I38" s="15">
        <v>13.227732</v>
      </c>
      <c r="J38" s="15">
        <v>22.046220000000002</v>
      </c>
      <c r="K38" s="15">
        <v>22.046220000000002</v>
      </c>
      <c r="L38" s="226">
        <v>17.636976000000001</v>
      </c>
      <c r="M38" s="259">
        <v>30.864708</v>
      </c>
      <c r="N38" s="259">
        <v>33.069330000000001</v>
      </c>
      <c r="O38" s="226">
        <v>35.273952000000001</v>
      </c>
      <c r="P38" s="226">
        <v>35.273952000000001</v>
      </c>
    </row>
    <row r="39" spans="1:16" ht="10.199999999999999" customHeight="1">
      <c r="A39" t="s">
        <v>397</v>
      </c>
      <c r="B39" s="15">
        <v>126.249</v>
      </c>
      <c r="C39" s="15">
        <v>181.08500000000001</v>
      </c>
      <c r="D39" s="15">
        <v>166.45</v>
      </c>
      <c r="E39" s="15">
        <v>158.14400000000001</v>
      </c>
      <c r="F39" s="15">
        <v>142.666</v>
      </c>
      <c r="G39" s="15">
        <v>139.90299999999999</v>
      </c>
      <c r="H39" s="15">
        <v>190.11</v>
      </c>
      <c r="I39" s="15">
        <v>188.47900000000001</v>
      </c>
      <c r="J39" s="15">
        <v>210.702</v>
      </c>
      <c r="K39" s="15">
        <v>209.80799999999999</v>
      </c>
      <c r="L39" s="226">
        <v>214.041</v>
      </c>
      <c r="M39" s="259">
        <v>226.21899999999999</v>
      </c>
      <c r="N39" s="259">
        <v>283.68900000000002</v>
      </c>
      <c r="O39" s="226">
        <v>231.74799999999999</v>
      </c>
      <c r="P39" s="226">
        <v>228</v>
      </c>
    </row>
    <row r="40" spans="1:16" ht="10.199999999999999" customHeight="1">
      <c r="A40" t="s">
        <v>86</v>
      </c>
      <c r="B40" s="15">
        <v>832.25867613789922</v>
      </c>
      <c r="C40" s="15">
        <v>928.17222296226657</v>
      </c>
      <c r="D40" s="15">
        <v>932.35848317969794</v>
      </c>
      <c r="E40" s="15">
        <v>1015.0025294441491</v>
      </c>
      <c r="F40" s="15">
        <v>1103</v>
      </c>
      <c r="G40" s="15">
        <v>1072</v>
      </c>
      <c r="H40" s="15">
        <v>1136</v>
      </c>
      <c r="I40" s="15">
        <v>1099</v>
      </c>
      <c r="J40" s="15">
        <v>1274</v>
      </c>
      <c r="K40" s="15">
        <v>1562</v>
      </c>
      <c r="L40" s="226">
        <v>1552</v>
      </c>
      <c r="M40" s="259">
        <v>1587.894</v>
      </c>
      <c r="N40" s="259">
        <v>1751.6469999999997</v>
      </c>
      <c r="O40" s="226">
        <v>1654.4920000000002</v>
      </c>
      <c r="P40" s="226">
        <v>1764</v>
      </c>
    </row>
    <row r="41" spans="1:16" ht="10.199999999999999" customHeight="1">
      <c r="A41" t="s">
        <v>83</v>
      </c>
      <c r="B41" s="15">
        <v>72.827656374699998</v>
      </c>
      <c r="C41" s="15">
        <v>75.667366261593841</v>
      </c>
      <c r="D41" s="15">
        <v>71.409101654248431</v>
      </c>
      <c r="E41" s="15">
        <v>69.235649845376614</v>
      </c>
      <c r="F41" s="15">
        <v>104.28680716746665</v>
      </c>
      <c r="G41" s="15">
        <v>94.84309191996941</v>
      </c>
      <c r="H41" s="15">
        <v>81.434211243702975</v>
      </c>
      <c r="I41" s="15">
        <v>62.255684269380808</v>
      </c>
      <c r="J41" s="15">
        <v>57.551207058402817</v>
      </c>
      <c r="K41" s="15">
        <v>52.325076002018911</v>
      </c>
      <c r="L41" s="226">
        <v>52.231312756700767</v>
      </c>
      <c r="M41" s="258">
        <v>60.557541431435183</v>
      </c>
      <c r="N41" s="258">
        <v>62.207696114027875</v>
      </c>
      <c r="O41" s="226">
        <v>66.8</v>
      </c>
      <c r="P41" s="226">
        <v>80.599999999999994</v>
      </c>
    </row>
    <row r="42" spans="1:16" ht="10.199999999999999" customHeight="1">
      <c r="A42" t="s">
        <v>84</v>
      </c>
      <c r="B42" s="15">
        <v>19359.734</v>
      </c>
      <c r="C42" s="15">
        <v>20387.420999999998</v>
      </c>
      <c r="D42" s="15">
        <v>20488.99351</v>
      </c>
      <c r="E42" s="15">
        <v>20579.830779999997</v>
      </c>
      <c r="F42" s="15">
        <v>18744.967840000001</v>
      </c>
      <c r="G42" s="15">
        <v>19615.31352</v>
      </c>
      <c r="H42" s="15">
        <v>18887.582520000004</v>
      </c>
      <c r="I42" s="15">
        <v>19740.489905999999</v>
      </c>
      <c r="J42" s="15">
        <v>19819.526644000001</v>
      </c>
      <c r="K42" s="15">
        <v>20129.804834999995</v>
      </c>
      <c r="L42" s="226">
        <v>21398.771410000005</v>
      </c>
      <c r="M42" s="258">
        <v>21950.231</v>
      </c>
      <c r="N42" s="258">
        <v>22123.409</v>
      </c>
      <c r="O42" s="226">
        <v>23767.204000000002</v>
      </c>
      <c r="P42" s="226">
        <v>24570</v>
      </c>
    </row>
    <row r="43" spans="1:16" ht="10.199999999999999" customHeight="1">
      <c r="A43" t="s">
        <v>85</v>
      </c>
      <c r="B43" s="15">
        <v>255</v>
      </c>
      <c r="C43" s="15">
        <v>553</v>
      </c>
      <c r="D43" s="15">
        <v>600</v>
      </c>
      <c r="E43" s="15">
        <v>632</v>
      </c>
      <c r="F43" s="15">
        <v>646</v>
      </c>
      <c r="G43" s="15">
        <v>722</v>
      </c>
      <c r="H43" s="15">
        <v>487</v>
      </c>
      <c r="I43" s="15">
        <v>322</v>
      </c>
      <c r="J43" s="15">
        <v>428</v>
      </c>
      <c r="K43" s="15">
        <v>430</v>
      </c>
      <c r="L43" s="226">
        <v>322</v>
      </c>
      <c r="M43" s="258">
        <v>452</v>
      </c>
      <c r="N43" s="258">
        <v>465</v>
      </c>
      <c r="O43" s="226">
        <v>434</v>
      </c>
      <c r="P43" s="226">
        <v>445</v>
      </c>
    </row>
    <row r="44" spans="1:16" ht="10.199999999999999" customHeight="1">
      <c r="A44" t="s">
        <v>87</v>
      </c>
      <c r="B44" s="15">
        <v>1832.6900000000003</v>
      </c>
      <c r="C44" s="15">
        <v>1833.1100000000001</v>
      </c>
      <c r="D44" s="15">
        <v>1797.7930000000003</v>
      </c>
      <c r="E44" s="15">
        <v>1789.0459999999996</v>
      </c>
      <c r="F44" s="15">
        <v>1846.1</v>
      </c>
      <c r="G44" s="15">
        <v>1821.1536900000001</v>
      </c>
      <c r="H44" s="15">
        <v>2021.0007019999998</v>
      </c>
      <c r="I44" s="15">
        <v>2050.8921600000003</v>
      </c>
      <c r="J44" s="15">
        <v>2053.6843680000002</v>
      </c>
      <c r="K44" s="15">
        <v>1957.91112</v>
      </c>
      <c r="L44" s="226">
        <v>1876.1680400000002</v>
      </c>
      <c r="M44" s="258">
        <v>2111.09</v>
      </c>
      <c r="N44" s="258">
        <v>2051.0079999999998</v>
      </c>
      <c r="O44" s="226">
        <v>2218.9740000000002</v>
      </c>
      <c r="P44" s="226">
        <v>2290</v>
      </c>
    </row>
    <row r="45" spans="1:16" ht="10.199999999999999" customHeight="1">
      <c r="A45" s="107" t="s">
        <v>392</v>
      </c>
      <c r="B45" s="15">
        <f t="shared" ref="B45:L45" si="2">SUM(B35:B44)</f>
        <v>26611.842396512598</v>
      </c>
      <c r="C45" s="15">
        <f t="shared" si="2"/>
        <v>28181.65099722386</v>
      </c>
      <c r="D45" s="15">
        <f t="shared" si="2"/>
        <v>28269.227618833949</v>
      </c>
      <c r="E45" s="15">
        <f t="shared" si="2"/>
        <v>28486.657641289519</v>
      </c>
      <c r="F45" s="15">
        <f t="shared" si="2"/>
        <v>26542.422019167469</v>
      </c>
      <c r="G45" s="15">
        <f t="shared" si="2"/>
        <v>27409.461911919967</v>
      </c>
      <c r="H45" s="15">
        <f t="shared" si="2"/>
        <v>28148.734635243705</v>
      </c>
      <c r="I45" s="15">
        <f t="shared" si="2"/>
        <v>28724.459534269379</v>
      </c>
      <c r="J45" s="15">
        <f t="shared" si="2"/>
        <v>29217.464443058409</v>
      </c>
      <c r="K45" s="15">
        <f t="shared" si="2"/>
        <v>29741.371003002016</v>
      </c>
      <c r="L45" s="226">
        <f t="shared" si="2"/>
        <v>31684.950078756705</v>
      </c>
      <c r="M45" s="226">
        <v>33109.016793431438</v>
      </c>
      <c r="N45" s="226">
        <v>34114.60050211403</v>
      </c>
      <c r="O45" s="226">
        <v>36013.365984000004</v>
      </c>
      <c r="P45" s="226">
        <v>36867.873952000002</v>
      </c>
    </row>
    <row r="46" spans="1:16" ht="10.199999999999999" customHeight="1">
      <c r="A46" t="s">
        <v>90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26"/>
      <c r="M46" s="226"/>
      <c r="N46" s="226"/>
      <c r="O46" s="226"/>
    </row>
    <row r="47" spans="1:16" ht="10.199999999999999" customHeight="1">
      <c r="A47" t="s">
        <v>77</v>
      </c>
      <c r="B47" s="15">
        <v>11.162316446946001</v>
      </c>
      <c r="C47" s="15">
        <v>14.49751711023</v>
      </c>
      <c r="D47" s="15">
        <v>14.861264307875999</v>
      </c>
      <c r="E47" s="15">
        <v>9.0144590542020016</v>
      </c>
      <c r="F47" s="15">
        <v>8.4873185016479997</v>
      </c>
      <c r="G47" s="15">
        <v>13.888393279362001</v>
      </c>
      <c r="H47" s="15">
        <v>13.550473228445998</v>
      </c>
      <c r="I47" s="15">
        <v>25.953259926887998</v>
      </c>
      <c r="J47" s="15">
        <v>25.497562354866002</v>
      </c>
      <c r="K47" s="15">
        <v>25.210954880999999</v>
      </c>
      <c r="L47" s="226">
        <v>37.034399987172002</v>
      </c>
      <c r="M47" s="226">
        <v>59.867403281910001</v>
      </c>
      <c r="N47" s="226">
        <v>58.756079787174002</v>
      </c>
      <c r="O47" s="226">
        <v>41.715764889875992</v>
      </c>
      <c r="P47" s="226">
        <v>24.250842000000002</v>
      </c>
    </row>
    <row r="48" spans="1:16" ht="10.199999999999999" customHeight="1">
      <c r="A48" t="s">
        <v>362</v>
      </c>
      <c r="B48" s="15">
        <v>789.40283762151012</v>
      </c>
      <c r="C48" s="15">
        <v>798.77636346085228</v>
      </c>
      <c r="D48" s="15">
        <v>792.96945084226809</v>
      </c>
      <c r="E48" s="15">
        <v>769.257643330512</v>
      </c>
      <c r="F48" s="15">
        <v>813.70250538494417</v>
      </c>
      <c r="G48" s="15">
        <v>774.09081189027006</v>
      </c>
      <c r="H48" s="15">
        <v>791.74480316286599</v>
      </c>
      <c r="I48" s="15">
        <v>1003.3988261799599</v>
      </c>
      <c r="J48" s="15">
        <v>1018.7799337415701</v>
      </c>
      <c r="K48" s="15">
        <v>1004.1465347543701</v>
      </c>
      <c r="L48" s="226">
        <v>908.59042173097805</v>
      </c>
      <c r="M48" s="226">
        <v>1093.9486196317139</v>
      </c>
      <c r="N48" s="226">
        <v>1134.7810476017398</v>
      </c>
      <c r="O48" s="226">
        <v>715.50118547334</v>
      </c>
      <c r="P48" s="226">
        <v>600</v>
      </c>
    </row>
    <row r="49" spans="1:20" ht="10.199999999999999" customHeight="1">
      <c r="A49" t="s">
        <v>79</v>
      </c>
      <c r="B49" s="15">
        <v>56.734381888380007</v>
      </c>
      <c r="C49" s="15">
        <v>67.466843342387989</v>
      </c>
      <c r="D49" s="15">
        <v>137.81836181925001</v>
      </c>
      <c r="E49" s="15">
        <v>186.49135376713801</v>
      </c>
      <c r="F49" s="15">
        <v>192.22683001905602</v>
      </c>
      <c r="G49" s="15">
        <v>94.027681660121999</v>
      </c>
      <c r="H49" s="15">
        <v>163.23590300938201</v>
      </c>
      <c r="I49" s="15">
        <v>258.72821206747204</v>
      </c>
      <c r="J49" s="15">
        <v>220.66299256251602</v>
      </c>
      <c r="K49" s="15">
        <v>148.403212807248</v>
      </c>
      <c r="L49" s="226">
        <v>118.49962299588</v>
      </c>
      <c r="M49" s="226">
        <v>54.826321230575999</v>
      </c>
      <c r="N49" s="226">
        <v>103.98553153745401</v>
      </c>
      <c r="O49" s="226">
        <v>111.81917961610202</v>
      </c>
      <c r="P49" s="226">
        <v>115</v>
      </c>
    </row>
    <row r="50" spans="1:20" ht="10.199999999999999" customHeight="1">
      <c r="A50" t="s">
        <v>80</v>
      </c>
      <c r="B50" s="15">
        <v>165.32832518193601</v>
      </c>
      <c r="C50" s="15">
        <v>73.619361324180019</v>
      </c>
      <c r="D50" s="15">
        <v>79.380896208138012</v>
      </c>
      <c r="E50" s="15">
        <v>74.713947328692015</v>
      </c>
      <c r="F50" s="15">
        <v>86.878456276752004</v>
      </c>
      <c r="G50" s="15">
        <v>68.718817311479995</v>
      </c>
      <c r="H50" s="15">
        <v>70.372887877908013</v>
      </c>
      <c r="I50" s="15">
        <v>66.008512344852008</v>
      </c>
      <c r="J50" s="15">
        <v>61.456728509442009</v>
      </c>
      <c r="K50" s="15">
        <v>51.786850766994</v>
      </c>
      <c r="L50" s="226">
        <v>46.586295178667996</v>
      </c>
      <c r="M50" s="226">
        <v>43.325469643175992</v>
      </c>
      <c r="N50" s="226">
        <v>39.060299895497991</v>
      </c>
      <c r="O50" s="226">
        <v>36.256415338836</v>
      </c>
      <c r="P50" s="226">
        <v>45</v>
      </c>
    </row>
    <row r="51" spans="1:20" ht="10.199999999999999" customHeight="1">
      <c r="A51" t="s">
        <v>334</v>
      </c>
      <c r="B51" s="15">
        <v>15.114030834042003</v>
      </c>
      <c r="C51" s="15">
        <v>24.954601434840004</v>
      </c>
      <c r="D51" s="15">
        <v>20.520570869694001</v>
      </c>
      <c r="E51" s="15">
        <v>8.2202748434099995</v>
      </c>
      <c r="F51" s="15">
        <v>10.612554268050003</v>
      </c>
      <c r="G51" s="15">
        <v>7.4812701166560007</v>
      </c>
      <c r="H51" s="15">
        <v>7.8151843693979988</v>
      </c>
      <c r="I51" s="15">
        <v>8.1777609127620003</v>
      </c>
      <c r="J51" s="15">
        <v>15.25291981542</v>
      </c>
      <c r="K51" s="15">
        <v>15.393122751510004</v>
      </c>
      <c r="L51" s="226">
        <v>12.85268170536</v>
      </c>
      <c r="M51" s="226">
        <v>16.804226336562003</v>
      </c>
      <c r="N51" s="226">
        <v>17.281458656279998</v>
      </c>
      <c r="O51" s="226">
        <v>26.504735097078001</v>
      </c>
      <c r="P51" s="226">
        <v>17.636976000000001</v>
      </c>
    </row>
    <row r="52" spans="1:20" ht="10.199999999999999" customHeight="1">
      <c r="A52" t="s">
        <v>82</v>
      </c>
      <c r="B52" s="15">
        <v>2.3242249481220001</v>
      </c>
      <c r="C52" s="15">
        <v>2.6194987910700007</v>
      </c>
      <c r="D52" s="15">
        <v>3.7829726192159998</v>
      </c>
      <c r="E52" s="15">
        <v>2.6838957996900001</v>
      </c>
      <c r="F52" s="15">
        <v>5.8580863044480012</v>
      </c>
      <c r="G52" s="15">
        <v>5.4681085142459995</v>
      </c>
      <c r="H52" s="15">
        <v>2.6741976675119998</v>
      </c>
      <c r="I52" s="15">
        <v>2.7318397143239999</v>
      </c>
      <c r="J52" s="15">
        <v>1.9594812613320001</v>
      </c>
      <c r="K52" s="15">
        <v>1.5223069233540003</v>
      </c>
      <c r="L52" s="226">
        <v>1.9314362648700001</v>
      </c>
      <c r="M52" s="226">
        <v>1.9314362648700001</v>
      </c>
      <c r="N52" s="226">
        <v>2.2531391163540002</v>
      </c>
      <c r="O52" s="226">
        <v>3.8486394901080003</v>
      </c>
      <c r="P52" s="226">
        <v>4.4092440000000002</v>
      </c>
    </row>
    <row r="53" spans="1:20" ht="10.199999999999999" customHeight="1">
      <c r="A53" t="s">
        <v>81</v>
      </c>
      <c r="B53" s="15">
        <v>12.766006991429999</v>
      </c>
      <c r="C53" s="15">
        <v>19.534948307532002</v>
      </c>
      <c r="D53" s="15">
        <v>31.422629484917998</v>
      </c>
      <c r="E53" s="15">
        <v>92.901053679462009</v>
      </c>
      <c r="F53" s="15">
        <v>48.400941593088007</v>
      </c>
      <c r="G53" s="15">
        <v>43.292157804755995</v>
      </c>
      <c r="H53" s="15">
        <v>34.414475704056002</v>
      </c>
      <c r="I53" s="15">
        <v>59.413290833106004</v>
      </c>
      <c r="J53" s="15">
        <v>40.645209265164006</v>
      </c>
      <c r="K53" s="15">
        <v>81.286364230469999</v>
      </c>
      <c r="L53" s="226">
        <v>27.653367409920001</v>
      </c>
      <c r="M53" s="226">
        <v>49.942331724473995</v>
      </c>
      <c r="N53" s="226">
        <v>31.470176567592002</v>
      </c>
      <c r="O53" s="226">
        <v>39.432398201279995</v>
      </c>
      <c r="P53" s="226">
        <v>30.864708</v>
      </c>
    </row>
    <row r="54" spans="1:20" ht="10.199999999999999" customHeight="1">
      <c r="A54" t="s">
        <v>397</v>
      </c>
      <c r="B54" s="15">
        <v>10.0257390072</v>
      </c>
      <c r="C54" s="15">
        <v>7.4661177496500013</v>
      </c>
      <c r="D54" s="15">
        <v>11.008921052807999</v>
      </c>
      <c r="E54" s="15">
        <v>12.978894110237999</v>
      </c>
      <c r="F54" s="15">
        <v>9.3111196043880007</v>
      </c>
      <c r="G54" s="15">
        <v>10.76435351586</v>
      </c>
      <c r="H54" s="15">
        <v>15.933208844448</v>
      </c>
      <c r="I54" s="15">
        <v>15.646171469292</v>
      </c>
      <c r="J54" s="15">
        <v>12.597635600046001</v>
      </c>
      <c r="K54" s="15">
        <v>8.9400751079220004</v>
      </c>
      <c r="L54" s="226">
        <v>18.840011769936002</v>
      </c>
      <c r="M54" s="226">
        <v>10.252786413114</v>
      </c>
      <c r="N54" s="226">
        <v>12.148662125124</v>
      </c>
      <c r="O54" s="226">
        <v>10.943234340318</v>
      </c>
      <c r="P54" s="226">
        <v>11</v>
      </c>
    </row>
    <row r="55" spans="1:20" ht="10.199999999999999" customHeight="1">
      <c r="A55" t="s">
        <v>86</v>
      </c>
      <c r="B55" s="15">
        <v>268.50700000000001</v>
      </c>
      <c r="C55" s="15">
        <v>471.44551999999999</v>
      </c>
      <c r="D55" s="15">
        <v>629.70799999999997</v>
      </c>
      <c r="E55" s="15">
        <v>348.505</v>
      </c>
      <c r="F55" s="15">
        <v>548.72400000000005</v>
      </c>
      <c r="G55" s="15">
        <v>553.09400000000005</v>
      </c>
      <c r="H55" s="15">
        <v>510.63337037185198</v>
      </c>
      <c r="I55" s="15">
        <v>663.94035255378606</v>
      </c>
      <c r="J55" s="15">
        <v>475.19288210782082</v>
      </c>
      <c r="K55" s="15">
        <v>262.20648211637035</v>
      </c>
      <c r="L55" s="226">
        <v>241.398143700714</v>
      </c>
      <c r="M55" s="226">
        <v>245.796529937364</v>
      </c>
      <c r="N55" s="226">
        <v>271.06590068749796</v>
      </c>
      <c r="O55" s="226">
        <v>231.50577771064803</v>
      </c>
      <c r="P55" s="226">
        <v>243</v>
      </c>
    </row>
    <row r="56" spans="1:20" ht="10.199999999999999" customHeight="1">
      <c r="A56" t="s">
        <v>83</v>
      </c>
      <c r="B56" s="15">
        <v>41.169111227999991</v>
      </c>
      <c r="C56" s="15">
        <v>40.498795908900007</v>
      </c>
      <c r="D56" s="15">
        <v>37.232125920485998</v>
      </c>
      <c r="E56" s="15">
        <v>38.639426532588004</v>
      </c>
      <c r="F56" s="15">
        <v>44.291830422924001</v>
      </c>
      <c r="G56" s="15">
        <v>57.051170637426011</v>
      </c>
      <c r="H56" s="15">
        <v>42.156530557092005</v>
      </c>
      <c r="I56" s="15">
        <v>43.863972817518011</v>
      </c>
      <c r="J56" s="15">
        <v>45.138339132264001</v>
      </c>
      <c r="K56" s="15">
        <v>29.561547117312003</v>
      </c>
      <c r="L56" s="226">
        <v>51.611153416703992</v>
      </c>
      <c r="M56" s="226">
        <v>45.717363258966003</v>
      </c>
      <c r="N56" s="226">
        <v>32.463204455052001</v>
      </c>
      <c r="O56" s="226">
        <v>27.612683315532003</v>
      </c>
      <c r="P56" s="226">
        <v>36</v>
      </c>
    </row>
    <row r="57" spans="1:20" ht="10.199999999999999" customHeight="1">
      <c r="A57" s="107" t="s">
        <v>365</v>
      </c>
      <c r="B57" s="15">
        <v>6.1632037846259999</v>
      </c>
      <c r="C57" s="15">
        <v>2.2348098890460002</v>
      </c>
      <c r="D57" s="15">
        <v>0.79759696564800009</v>
      </c>
      <c r="E57" s="15">
        <v>1.55814966783</v>
      </c>
      <c r="F57" s="15">
        <v>1.5873498862200002</v>
      </c>
      <c r="G57" s="15">
        <v>1.9717411642740004</v>
      </c>
      <c r="H57" s="15">
        <v>2.2627292220539998</v>
      </c>
      <c r="I57" s="15">
        <v>1.7166421480319998</v>
      </c>
      <c r="J57" s="15">
        <v>1.7691143562540002</v>
      </c>
      <c r="K57" s="15">
        <v>2.5224160566780003</v>
      </c>
      <c r="L57" s="226">
        <v>2.6097168832560005</v>
      </c>
      <c r="M57" s="226">
        <v>2.6097168832560005</v>
      </c>
      <c r="N57" s="226">
        <v>2.8829378923379996</v>
      </c>
      <c r="O57" s="226">
        <v>2.4997018362120005</v>
      </c>
      <c r="P57" s="226">
        <v>2.8829378923379996</v>
      </c>
    </row>
    <row r="58" spans="1:20" ht="10.199999999999999" customHeight="1">
      <c r="A58" t="s">
        <v>84</v>
      </c>
      <c r="B58" s="15">
        <v>1323.6520901972758</v>
      </c>
      <c r="C58" s="15">
        <v>1153.354456637838</v>
      </c>
      <c r="D58" s="15">
        <v>1876.6194984711722</v>
      </c>
      <c r="E58" s="15">
        <v>2911.0484564629019</v>
      </c>
      <c r="F58" s="15">
        <v>2193.4384199738643</v>
      </c>
      <c r="G58" s="15">
        <v>3358.4855391315896</v>
      </c>
      <c r="H58" s="15">
        <v>3233.0068589106531</v>
      </c>
      <c r="I58" s="15">
        <v>1464.1127377805883</v>
      </c>
      <c r="J58" s="15">
        <v>2163.493910173554</v>
      </c>
      <c r="K58" s="15">
        <v>1878.4999153737178</v>
      </c>
      <c r="L58" s="226">
        <v>2014.3727820536042</v>
      </c>
      <c r="M58" s="226">
        <v>2242.5412316407378</v>
      </c>
      <c r="N58" s="226">
        <v>2555.6622326363522</v>
      </c>
      <c r="O58" s="226">
        <v>2447.109339404436</v>
      </c>
      <c r="P58" s="226">
        <v>2250</v>
      </c>
    </row>
    <row r="59" spans="1:20" ht="10.199999999999999" customHeight="1">
      <c r="A59" t="s">
        <v>85</v>
      </c>
      <c r="B59" s="15">
        <v>125.02354482752401</v>
      </c>
      <c r="C59" s="15">
        <v>210.00315356181</v>
      </c>
      <c r="D59" s="15">
        <v>169.93776649651201</v>
      </c>
      <c r="E59" s="15">
        <v>169.066583657748</v>
      </c>
      <c r="F59" s="15">
        <v>199.71018791274602</v>
      </c>
      <c r="G59" s="15">
        <v>215.02181240278202</v>
      </c>
      <c r="H59" s="15">
        <v>83.700392251140002</v>
      </c>
      <c r="I59" s="15">
        <v>41.353675567974001</v>
      </c>
      <c r="J59" s="15">
        <v>62.485965108630005</v>
      </c>
      <c r="K59" s="15">
        <v>81.749345873580012</v>
      </c>
      <c r="L59" s="226">
        <v>63.549816477840011</v>
      </c>
      <c r="M59" s="226">
        <v>85.620728244239999</v>
      </c>
      <c r="N59" s="226">
        <v>70.971999999999994</v>
      </c>
      <c r="O59" s="226">
        <v>89.024000000000001</v>
      </c>
      <c r="P59" s="226">
        <v>95</v>
      </c>
    </row>
    <row r="60" spans="1:20" ht="10.199999999999999" customHeight="1">
      <c r="A60" t="s">
        <v>87</v>
      </c>
      <c r="B60" s="15">
        <v>303.64964725964398</v>
      </c>
      <c r="C60" s="15">
        <v>258.56886860317803</v>
      </c>
      <c r="D60" s="15">
        <v>334.90629516342602</v>
      </c>
      <c r="E60" s="15">
        <v>247.93102291154401</v>
      </c>
      <c r="F60" s="15">
        <v>181.32182161959602</v>
      </c>
      <c r="G60" s="15">
        <v>183.22264229875202</v>
      </c>
      <c r="H60" s="15">
        <v>139.376793678696</v>
      </c>
      <c r="I60" s="15">
        <v>141.61652869329001</v>
      </c>
      <c r="J60" s="15">
        <v>181.96295656190398</v>
      </c>
      <c r="K60" s="15">
        <v>104.61279058889397</v>
      </c>
      <c r="L60" s="226">
        <v>119.97237001667401</v>
      </c>
      <c r="M60" s="226">
        <v>230.25271245366602</v>
      </c>
      <c r="N60" s="226">
        <v>200.66135223304801</v>
      </c>
      <c r="O60" s="226">
        <v>248.42781022840205</v>
      </c>
      <c r="P60" s="226">
        <v>280</v>
      </c>
    </row>
    <row r="61" spans="1:20" ht="10.199999999999999" customHeight="1">
      <c r="A61" s="107" t="s">
        <v>393</v>
      </c>
      <c r="B61" s="15">
        <f t="shared" ref="B61:L61" si="3">SUM(B47:B60)</f>
        <v>3131.0224602166359</v>
      </c>
      <c r="C61" s="15">
        <f t="shared" si="3"/>
        <v>3145.0408561215145</v>
      </c>
      <c r="D61" s="15">
        <f t="shared" si="3"/>
        <v>4140.9663502214125</v>
      </c>
      <c r="E61" s="15">
        <f t="shared" si="3"/>
        <v>4873.0101611459559</v>
      </c>
      <c r="F61" s="15">
        <f t="shared" si="3"/>
        <v>4344.5514217677255</v>
      </c>
      <c r="G61" s="15">
        <f t="shared" si="3"/>
        <v>5386.5784997275759</v>
      </c>
      <c r="H61" s="15">
        <f t="shared" si="3"/>
        <v>5110.8778088555036</v>
      </c>
      <c r="I61" s="15">
        <f t="shared" si="3"/>
        <v>3796.6617830098444</v>
      </c>
      <c r="J61" s="15">
        <f t="shared" si="3"/>
        <v>4326.8956305507836</v>
      </c>
      <c r="K61" s="15">
        <f t="shared" si="3"/>
        <v>3695.8419193494196</v>
      </c>
      <c r="L61" s="226">
        <f t="shared" si="3"/>
        <v>3665.5022195915762</v>
      </c>
      <c r="M61" s="226">
        <v>4183.4368769446255</v>
      </c>
      <c r="N61" s="226">
        <v>4533.4440231915041</v>
      </c>
      <c r="O61" s="226">
        <v>4032.2008649421678</v>
      </c>
      <c r="P61" s="226">
        <v>3755.044707892338</v>
      </c>
    </row>
    <row r="62" spans="1:20" ht="10.199999999999999" customHeight="1">
      <c r="A62" t="s">
        <v>92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226"/>
      <c r="M62" s="226"/>
      <c r="N62" s="226"/>
      <c r="O62" s="226"/>
    </row>
    <row r="63" spans="1:20" ht="10.199999999999999" customHeight="1">
      <c r="A63" t="s">
        <v>77</v>
      </c>
      <c r="B63" s="15">
        <v>930.126567811168</v>
      </c>
      <c r="C63" s="15">
        <v>1181.6349176253402</v>
      </c>
      <c r="D63" s="15">
        <v>789.04403943814805</v>
      </c>
      <c r="E63" s="15">
        <v>1234.2326995075821</v>
      </c>
      <c r="F63" s="15">
        <v>948.04098064573407</v>
      </c>
      <c r="G63" s="15">
        <v>1338.1766337929225</v>
      </c>
      <c r="H63" s="15">
        <v>1063.4543322201541</v>
      </c>
      <c r="I63" s="15">
        <v>1135.5639639894898</v>
      </c>
      <c r="J63" s="15">
        <v>1188.263135841768</v>
      </c>
      <c r="K63" s="15">
        <v>1143.4816919419741</v>
      </c>
      <c r="L63" s="226">
        <v>1209.2792787305439</v>
      </c>
      <c r="M63" s="226">
        <v>1110.241748647034</v>
      </c>
      <c r="N63" s="226">
        <v>1008.5757784756559</v>
      </c>
      <c r="O63" s="226">
        <v>1020.5591979542182</v>
      </c>
      <c r="P63" s="15">
        <v>997.55072800000016</v>
      </c>
      <c r="Q63" s="15"/>
      <c r="R63" s="15"/>
      <c r="S63" s="15"/>
      <c r="T63" s="15"/>
    </row>
    <row r="64" spans="1:20" ht="10.199999999999999" customHeight="1">
      <c r="A64" t="s">
        <v>78</v>
      </c>
      <c r="B64" s="15">
        <v>1653.0855688741904</v>
      </c>
      <c r="C64" s="15">
        <v>1684.6369031388035</v>
      </c>
      <c r="D64" s="15">
        <v>1831.6070154047379</v>
      </c>
      <c r="E64" s="15">
        <v>1756.0666496253439</v>
      </c>
      <c r="F64" s="15">
        <v>1567.7993531418733</v>
      </c>
      <c r="G64" s="15">
        <v>1895.0803012535878</v>
      </c>
      <c r="H64" s="15">
        <v>2804.644150177066</v>
      </c>
      <c r="I64" s="15">
        <v>2742.3548912957858</v>
      </c>
      <c r="J64" s="15">
        <v>2726.2658212555179</v>
      </c>
      <c r="K64" s="15">
        <v>2927.9301510077485</v>
      </c>
      <c r="L64" s="226">
        <v>3870.2191376859719</v>
      </c>
      <c r="M64" s="226">
        <v>4288.8865532831724</v>
      </c>
      <c r="N64" s="226">
        <v>4826.0689523982601</v>
      </c>
      <c r="O64" s="226">
        <v>5342.15</v>
      </c>
      <c r="P64" s="15">
        <v>5264.4530000000004</v>
      </c>
      <c r="Q64" s="15"/>
      <c r="R64" s="15"/>
      <c r="S64" s="15"/>
      <c r="T64" s="15"/>
    </row>
    <row r="65" spans="1:20" ht="10.199999999999999" customHeight="1">
      <c r="A65" t="s">
        <v>79</v>
      </c>
      <c r="B65" s="15">
        <v>934.60530939473404</v>
      </c>
      <c r="C65" s="15">
        <v>859.72269348941802</v>
      </c>
      <c r="D65" s="15">
        <v>713.9124309085521</v>
      </c>
      <c r="E65" s="15">
        <v>622.62017890968195</v>
      </c>
      <c r="F65" s="15">
        <v>502.05297804131203</v>
      </c>
      <c r="G65" s="15">
        <v>551.92322662066999</v>
      </c>
      <c r="H65" s="15">
        <v>599.50524319104193</v>
      </c>
      <c r="I65" s="15">
        <v>571.61889468866798</v>
      </c>
      <c r="J65" s="15">
        <v>584.25441577419792</v>
      </c>
      <c r="K65" s="15">
        <v>538.54962385942599</v>
      </c>
      <c r="L65" s="226">
        <v>540.92412416890193</v>
      </c>
      <c r="M65" s="226">
        <v>433.24362683097991</v>
      </c>
      <c r="N65" s="226">
        <v>435.17942153772003</v>
      </c>
      <c r="O65" s="226">
        <v>504.12900000000002</v>
      </c>
      <c r="P65" s="15">
        <v>476.08699999999999</v>
      </c>
      <c r="Q65" s="15"/>
      <c r="R65" s="15"/>
      <c r="S65" s="15"/>
      <c r="T65" s="15"/>
    </row>
    <row r="66" spans="1:20" ht="10.199999999999999" customHeight="1">
      <c r="A66" t="s">
        <v>80</v>
      </c>
      <c r="B66" s="15">
        <v>613.57559601562411</v>
      </c>
      <c r="C66" s="15">
        <v>720.06017234452395</v>
      </c>
      <c r="D66" s="15">
        <v>732.45023092304609</v>
      </c>
      <c r="E66" s="15">
        <v>798.8349652159161</v>
      </c>
      <c r="F66" s="15">
        <v>779.95583160216995</v>
      </c>
      <c r="G66" s="15">
        <v>790.9627176762458</v>
      </c>
      <c r="H66" s="15">
        <v>789.54274072260591</v>
      </c>
      <c r="I66" s="15">
        <v>820.79374574465589</v>
      </c>
      <c r="J66" s="15">
        <v>819.97477022378405</v>
      </c>
      <c r="K66" s="15">
        <v>821.75317044610995</v>
      </c>
      <c r="L66" s="226">
        <v>882.80358397978796</v>
      </c>
      <c r="M66" s="226">
        <v>890.35233496649209</v>
      </c>
      <c r="N66" s="226">
        <v>928.53606451116207</v>
      </c>
      <c r="O66" s="226">
        <v>959.40099999999995</v>
      </c>
      <c r="P66" s="15">
        <v>983.1110000000001</v>
      </c>
      <c r="Q66" s="15"/>
      <c r="R66" s="15"/>
      <c r="S66" s="15"/>
      <c r="T66" s="15"/>
    </row>
    <row r="67" spans="1:20" ht="10.199999999999999" customHeight="1">
      <c r="A67" t="s">
        <v>334</v>
      </c>
      <c r="B67" s="226">
        <v>536.43662781785997</v>
      </c>
      <c r="C67" s="15">
        <v>514.03325023537195</v>
      </c>
      <c r="D67" s="15">
        <v>559.32025143834005</v>
      </c>
      <c r="E67" s="15">
        <v>578.85045760394985</v>
      </c>
      <c r="F67" s="15">
        <v>602.72504051506735</v>
      </c>
      <c r="G67" s="15">
        <v>590.37511690432814</v>
      </c>
      <c r="H67" s="15">
        <v>643.61405297473198</v>
      </c>
      <c r="I67" s="15">
        <v>701.10577984028407</v>
      </c>
      <c r="J67" s="15">
        <v>660.26104567025402</v>
      </c>
      <c r="K67" s="15">
        <v>693.37496194558207</v>
      </c>
      <c r="L67" s="226">
        <v>688.81726090472387</v>
      </c>
      <c r="M67" s="226">
        <v>742.6362352279499</v>
      </c>
      <c r="N67" s="226">
        <v>712.068893257176</v>
      </c>
      <c r="O67" s="226">
        <v>717.91473509103616</v>
      </c>
      <c r="P67" s="15">
        <v>758.38996800000007</v>
      </c>
      <c r="Q67" s="15"/>
      <c r="R67" s="15"/>
      <c r="S67" s="15"/>
      <c r="T67" s="15"/>
    </row>
    <row r="68" spans="1:20" ht="10.199999999999999" customHeight="1">
      <c r="A68" t="s">
        <v>81</v>
      </c>
      <c r="B68" s="15">
        <v>761.03001090490397</v>
      </c>
      <c r="C68" s="15">
        <v>1201.9492496847583</v>
      </c>
      <c r="D68" s="15">
        <v>1489.7081066335604</v>
      </c>
      <c r="E68" s="15">
        <v>1966.5632536468654</v>
      </c>
      <c r="F68" s="15">
        <v>2240.9538460698595</v>
      </c>
      <c r="G68" s="15">
        <v>2189.4680966027327</v>
      </c>
      <c r="H68" s="15">
        <v>2001.3289332389922</v>
      </c>
      <c r="I68" s="15">
        <v>2169.3343740264745</v>
      </c>
      <c r="J68" s="15">
        <v>2841.6178585667453</v>
      </c>
      <c r="K68" s="15">
        <v>2608.4738843030705</v>
      </c>
      <c r="L68" s="226">
        <v>2459.3825016781439</v>
      </c>
      <c r="M68" s="226">
        <v>2839.0941377454078</v>
      </c>
      <c r="N68" s="226">
        <v>2942.1270659570309</v>
      </c>
      <c r="O68" s="226">
        <v>3278.4656659891943</v>
      </c>
      <c r="P68" s="15">
        <v>3366.8082359999999</v>
      </c>
      <c r="Q68" s="15"/>
      <c r="R68" s="15"/>
      <c r="S68" s="15"/>
      <c r="T68" s="15"/>
    </row>
    <row r="69" spans="1:20" ht="10.199999999999999" customHeight="1">
      <c r="A69" t="s">
        <v>82</v>
      </c>
      <c r="B69" s="15">
        <v>551.64582381036598</v>
      </c>
      <c r="C69" s="15">
        <v>522.69810054632978</v>
      </c>
      <c r="D69" s="15">
        <v>638.16610722377823</v>
      </c>
      <c r="E69" s="15">
        <v>503.98059368306195</v>
      </c>
      <c r="F69" s="15">
        <v>725.34595563772621</v>
      </c>
      <c r="G69" s="15">
        <v>680.86497201953193</v>
      </c>
      <c r="H69" s="15">
        <v>621.42210579094819</v>
      </c>
      <c r="I69" s="15">
        <v>663.05443575376808</v>
      </c>
      <c r="J69" s="15">
        <v>608.370288863778</v>
      </c>
      <c r="K69" s="15">
        <v>591.26992888168809</v>
      </c>
      <c r="L69" s="226">
        <v>672.16803166351997</v>
      </c>
      <c r="M69" s="226">
        <v>774.7466244230061</v>
      </c>
      <c r="N69" s="226">
        <v>781.83597968350591</v>
      </c>
      <c r="O69" s="226">
        <v>818.48626917439606</v>
      </c>
      <c r="P69" s="15">
        <v>895.17678599999999</v>
      </c>
      <c r="Q69" s="15"/>
      <c r="R69" s="15"/>
      <c r="S69" s="15"/>
      <c r="T69" s="15"/>
    </row>
    <row r="70" spans="1:20" ht="10.199999999999999" customHeight="1">
      <c r="A70" t="s">
        <v>397</v>
      </c>
      <c r="B70" s="15">
        <v>210.14462693975997</v>
      </c>
      <c r="C70" s="15">
        <v>259.76118201806003</v>
      </c>
      <c r="D70" s="15">
        <v>273.87219378091203</v>
      </c>
      <c r="E70" s="15">
        <v>218.82216133689002</v>
      </c>
      <c r="F70" s="15">
        <v>193.72578868158999</v>
      </c>
      <c r="G70" s="15">
        <v>198.76279558392199</v>
      </c>
      <c r="H70" s="15">
        <v>226.178445059544</v>
      </c>
      <c r="I70" s="15">
        <v>218.40133741410605</v>
      </c>
      <c r="J70" s="15">
        <v>200.85382144853799</v>
      </c>
      <c r="K70" s="15">
        <v>251.132798349382</v>
      </c>
      <c r="L70" s="226">
        <v>233.44884265241197</v>
      </c>
      <c r="M70" s="226">
        <v>306.20595707239397</v>
      </c>
      <c r="N70" s="226">
        <v>306.98678944363002</v>
      </c>
      <c r="O70" s="226">
        <v>263.22749207001203</v>
      </c>
      <c r="P70" s="15">
        <v>305.93099999999998</v>
      </c>
      <c r="Q70" s="15"/>
      <c r="R70" s="15"/>
      <c r="S70" s="15"/>
      <c r="T70" s="15"/>
    </row>
    <row r="71" spans="1:20" ht="10.199999999999999" customHeight="1">
      <c r="A71" t="s">
        <v>86</v>
      </c>
      <c r="B71" s="15">
        <v>1660.4126761378993</v>
      </c>
      <c r="C71" s="15">
        <v>1919.0077029622664</v>
      </c>
      <c r="D71" s="15">
        <v>1984.7564831796981</v>
      </c>
      <c r="E71" s="15">
        <v>2923.3665294441489</v>
      </c>
      <c r="F71" s="15">
        <v>2830.6699999999996</v>
      </c>
      <c r="G71" s="15">
        <v>2847.9120000000003</v>
      </c>
      <c r="H71" s="15">
        <v>3651.0846296281479</v>
      </c>
      <c r="I71" s="15">
        <v>3834.7926474462142</v>
      </c>
      <c r="J71" s="15">
        <v>3607.3671178921786</v>
      </c>
      <c r="K71" s="15">
        <v>4550.2641395629016</v>
      </c>
      <c r="L71" s="226">
        <v>5010.1518215074257</v>
      </c>
      <c r="M71" s="226">
        <v>5318.117022242388</v>
      </c>
      <c r="N71" s="226">
        <v>5844.0646543587472</v>
      </c>
      <c r="O71" s="226">
        <v>6039.8069999999998</v>
      </c>
      <c r="P71" s="15">
        <v>5646.5680000000002</v>
      </c>
      <c r="Q71" s="15"/>
      <c r="R71" s="15"/>
      <c r="S71" s="15"/>
      <c r="T71" s="15"/>
    </row>
    <row r="72" spans="1:20" ht="10.199999999999999" customHeight="1">
      <c r="A72" t="s">
        <v>83</v>
      </c>
      <c r="B72" s="15">
        <v>103.042460282788</v>
      </c>
      <c r="C72" s="15">
        <v>87.765473747955838</v>
      </c>
      <c r="D72" s="15">
        <v>88.793392766128449</v>
      </c>
      <c r="E72" s="15">
        <v>89.464711232528629</v>
      </c>
      <c r="F72" s="15">
        <v>94.913403149362665</v>
      </c>
      <c r="G72" s="15">
        <v>88.609958593871411</v>
      </c>
      <c r="H72" s="15">
        <v>96.175837788636301</v>
      </c>
      <c r="I72" s="15">
        <v>86.189926024216021</v>
      </c>
      <c r="J72" s="15">
        <v>80.941560593774568</v>
      </c>
      <c r="K72" s="15">
        <v>85.71228119420131</v>
      </c>
      <c r="L72" s="226">
        <v>50.054341387612958</v>
      </c>
      <c r="M72" s="226">
        <v>48.450222130183832</v>
      </c>
      <c r="N72" s="226">
        <v>59.541632954507627</v>
      </c>
      <c r="O72" s="226">
        <v>58.744491658975868</v>
      </c>
      <c r="P72" s="15">
        <v>73.454999999999998</v>
      </c>
      <c r="Q72" s="15"/>
      <c r="R72" s="15"/>
      <c r="S72" s="15"/>
      <c r="T72" s="15"/>
    </row>
    <row r="73" spans="1:20" ht="10.199999999999999" customHeight="1">
      <c r="A73" s="107" t="s">
        <v>365</v>
      </c>
      <c r="B73" s="15">
        <v>19.842823769832002</v>
      </c>
      <c r="C73" s="15">
        <v>23.743190305925999</v>
      </c>
      <c r="D73" s="15">
        <v>25.683171685668</v>
      </c>
      <c r="E73" s="15">
        <v>26.247845927771998</v>
      </c>
      <c r="F73" s="15">
        <v>22.026239510814001</v>
      </c>
      <c r="G73" s="15">
        <v>29.444602943322</v>
      </c>
      <c r="H73" s="15">
        <v>25.505611429788008</v>
      </c>
      <c r="I73" s="15">
        <v>25.809686123759995</v>
      </c>
      <c r="J73" s="15">
        <v>27.61186540077</v>
      </c>
      <c r="K73" s="15">
        <v>26.376467984495999</v>
      </c>
      <c r="L73" s="226">
        <v>31.235642265366003</v>
      </c>
      <c r="M73" s="226">
        <v>30.969934608060008</v>
      </c>
      <c r="N73" s="226">
        <v>35.813528825256</v>
      </c>
      <c r="O73" s="226">
        <v>39.430292769129998</v>
      </c>
      <c r="P73" s="15">
        <v>41.650382955039994</v>
      </c>
      <c r="Q73" s="15"/>
      <c r="R73" s="15"/>
      <c r="S73" s="15"/>
      <c r="T73" s="15"/>
    </row>
    <row r="74" spans="1:20" ht="10.199999999999999" customHeight="1">
      <c r="A74" t="s">
        <v>84</v>
      </c>
      <c r="B74" s="15">
        <v>17438.951194781061</v>
      </c>
      <c r="C74" s="15">
        <v>17958.607551960602</v>
      </c>
      <c r="D74" s="15">
        <v>18574.448188614173</v>
      </c>
      <c r="E74" s="15">
        <v>18334.765425604342</v>
      </c>
      <c r="F74" s="15">
        <v>16265.203884786391</v>
      </c>
      <c r="G74" s="15">
        <v>15814.127585273269</v>
      </c>
      <c r="H74" s="15">
        <v>16544.359912982418</v>
      </c>
      <c r="I74" s="15">
        <v>18510.819210565198</v>
      </c>
      <c r="J74" s="15">
        <v>18786.345654953118</v>
      </c>
      <c r="K74" s="15">
        <v>18906.305567893392</v>
      </c>
      <c r="L74" s="226">
        <v>18958.91230114342</v>
      </c>
      <c r="M74" s="226">
        <v>20162.2479225438</v>
      </c>
      <c r="N74" s="226">
        <v>19861.663646747144</v>
      </c>
      <c r="O74" s="226">
        <v>20999.954000000002</v>
      </c>
      <c r="P74" s="15">
        <v>22600.041000000001</v>
      </c>
      <c r="Q74" s="15"/>
      <c r="R74" s="15"/>
      <c r="S74" s="15"/>
      <c r="T74" s="15"/>
    </row>
    <row r="75" spans="1:20" ht="10.199999999999999" customHeight="1">
      <c r="A75" t="s">
        <v>85</v>
      </c>
      <c r="B75" s="15">
        <v>222.98245517247597</v>
      </c>
      <c r="C75" s="15">
        <v>367.64884643818993</v>
      </c>
      <c r="D75" s="15">
        <v>580.065233503488</v>
      </c>
      <c r="E75" s="15">
        <v>600.00141634225201</v>
      </c>
      <c r="F75" s="15">
        <v>428.54781208725399</v>
      </c>
      <c r="G75" s="15">
        <v>583.27118759721793</v>
      </c>
      <c r="H75" s="15">
        <v>529.30560774885998</v>
      </c>
      <c r="I75" s="15">
        <v>453.25332443202598</v>
      </c>
      <c r="J75" s="15">
        <v>437.07503489137002</v>
      </c>
      <c r="K75" s="15">
        <v>424.67765412642001</v>
      </c>
      <c r="L75" s="226">
        <v>435.33218352216005</v>
      </c>
      <c r="M75" s="226">
        <v>433.37727175576003</v>
      </c>
      <c r="N75" s="226">
        <v>498.80799999999999</v>
      </c>
      <c r="O75" s="226">
        <v>525.81399999999996</v>
      </c>
      <c r="P75" s="15">
        <v>492.44200000000001</v>
      </c>
      <c r="Q75" s="15"/>
      <c r="R75" s="15"/>
      <c r="S75" s="15"/>
      <c r="T75" s="15"/>
    </row>
    <row r="76" spans="1:20" ht="10.199999999999999" customHeight="1">
      <c r="A76" t="s">
        <v>87</v>
      </c>
      <c r="B76" s="15">
        <v>1528.3150900406463</v>
      </c>
      <c r="C76" s="15">
        <v>1566.688352521636</v>
      </c>
      <c r="D76" s="15">
        <v>1476.9956379263342</v>
      </c>
      <c r="E76" s="15">
        <v>1564.5458089180856</v>
      </c>
      <c r="F76" s="15">
        <v>1681.2587976971499</v>
      </c>
      <c r="G76" s="15">
        <v>1680.6599856627963</v>
      </c>
      <c r="H76" s="15">
        <v>1901.8913213882076</v>
      </c>
      <c r="I76" s="15">
        <v>1961.5987817056821</v>
      </c>
      <c r="J76" s="15">
        <v>1921.3914723455705</v>
      </c>
      <c r="K76" s="15">
        <v>1904.2148902112458</v>
      </c>
      <c r="L76" s="226">
        <v>1792.6318156670043</v>
      </c>
      <c r="M76" s="226">
        <v>1948.9976329875462</v>
      </c>
      <c r="N76" s="226">
        <v>1924.5027022192517</v>
      </c>
      <c r="O76" s="226">
        <v>1983.69</v>
      </c>
      <c r="P76" s="15">
        <v>2046.3620000000001</v>
      </c>
      <c r="Q76" s="15"/>
      <c r="R76" s="15"/>
      <c r="S76" s="15"/>
      <c r="T76" s="15"/>
    </row>
    <row r="77" spans="1:20" ht="10.199999999999999" customHeight="1">
      <c r="A77" s="1" t="s">
        <v>394</v>
      </c>
      <c r="B77" s="16">
        <f>SUM(B63:B76)</f>
        <v>27164.19683175331</v>
      </c>
      <c r="C77" s="16">
        <f t="shared" ref="C77:P77" si="4">SUM(C63:C76)</f>
        <v>28867.957587019184</v>
      </c>
      <c r="D77" s="16">
        <f t="shared" si="4"/>
        <v>29758.822483426564</v>
      </c>
      <c r="E77" s="16">
        <f t="shared" si="4"/>
        <v>31218.362696998422</v>
      </c>
      <c r="F77" s="16">
        <f t="shared" si="4"/>
        <v>28883.21991156631</v>
      </c>
      <c r="G77" s="16">
        <f t="shared" si="4"/>
        <v>29279.639180524413</v>
      </c>
      <c r="H77" s="16">
        <f t="shared" si="4"/>
        <v>31498.012924341139</v>
      </c>
      <c r="I77" s="16">
        <f t="shared" si="4"/>
        <v>33894.690999050326</v>
      </c>
      <c r="J77" s="16">
        <f t="shared" si="4"/>
        <v>34490.593863721362</v>
      </c>
      <c r="K77" s="16">
        <f t="shared" si="4"/>
        <v>35473.517211707636</v>
      </c>
      <c r="L77" s="260">
        <f t="shared" si="4"/>
        <v>36835.360866956995</v>
      </c>
      <c r="M77" s="16">
        <f t="shared" si="4"/>
        <v>39327.567224464176</v>
      </c>
      <c r="N77" s="16">
        <f t="shared" si="4"/>
        <v>40165.773110369046</v>
      </c>
      <c r="O77" s="16">
        <f t="shared" si="4"/>
        <v>42551.773144706967</v>
      </c>
      <c r="P77" s="16">
        <f t="shared" si="4"/>
        <v>43948.026100955045</v>
      </c>
    </row>
    <row r="78" spans="1:20" ht="13.2" customHeight="1">
      <c r="A78" s="107" t="s">
        <v>396</v>
      </c>
    </row>
    <row r="79" spans="1:20" ht="13.2" customHeight="1">
      <c r="A79" s="107" t="s">
        <v>536</v>
      </c>
    </row>
    <row r="80" spans="1:20">
      <c r="A80" s="107" t="s">
        <v>428</v>
      </c>
      <c r="L80" s="355"/>
      <c r="M80" s="145"/>
      <c r="O80" s="278" t="s">
        <v>679</v>
      </c>
    </row>
    <row r="81" spans="1:1" ht="10.199999999999999" customHeight="1">
      <c r="A81" s="160"/>
    </row>
  </sheetData>
  <phoneticPr fontId="0" type="noConversion"/>
  <pageMargins left="0.7" right="0.7" top="0.75" bottom="0.75" header="0.3" footer="0.3"/>
  <pageSetup scale="32" firstPageNumber="59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L49"/>
  <sheetViews>
    <sheetView zoomScaleNormal="100" zoomScaleSheetLayoutView="100" workbookViewId="0">
      <selection activeCell="A105" sqref="A105"/>
    </sheetView>
  </sheetViews>
  <sheetFormatPr defaultRowHeight="10.199999999999999"/>
  <cols>
    <col min="1" max="9" width="12.7109375" customWidth="1"/>
    <col min="10" max="10" width="11.7109375" customWidth="1"/>
    <col min="11" max="11" width="13.7109375" customWidth="1"/>
  </cols>
  <sheetData>
    <row r="1" spans="1:11">
      <c r="A1" s="1" t="s">
        <v>684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t="s">
        <v>107</v>
      </c>
      <c r="B2" s="1"/>
      <c r="C2" s="307" t="s">
        <v>119</v>
      </c>
      <c r="D2" s="283"/>
      <c r="E2" s="283"/>
      <c r="F2" s="390"/>
      <c r="G2" s="283" t="s">
        <v>117</v>
      </c>
      <c r="H2" s="382"/>
      <c r="I2" s="172" t="s">
        <v>143</v>
      </c>
      <c r="J2" s="303" t="s">
        <v>118</v>
      </c>
      <c r="K2" s="3"/>
    </row>
    <row r="3" spans="1:11">
      <c r="A3" t="s">
        <v>100</v>
      </c>
      <c r="B3" s="172" t="s">
        <v>141</v>
      </c>
      <c r="C3" s="10" t="s">
        <v>461</v>
      </c>
      <c r="D3" s="7" t="s">
        <v>88</v>
      </c>
      <c r="E3" s="172" t="s">
        <v>3</v>
      </c>
      <c r="F3" s="398" t="s">
        <v>142</v>
      </c>
      <c r="G3" s="172" t="s">
        <v>90</v>
      </c>
      <c r="H3" s="381" t="s">
        <v>3</v>
      </c>
      <c r="I3" s="172" t="s">
        <v>110</v>
      </c>
      <c r="J3" s="7" t="s">
        <v>332</v>
      </c>
      <c r="K3" s="7" t="s">
        <v>463</v>
      </c>
    </row>
    <row r="4" spans="1:11">
      <c r="A4" s="1" t="s">
        <v>140</v>
      </c>
      <c r="B4" s="283" t="s">
        <v>110</v>
      </c>
      <c r="C4" s="283"/>
      <c r="D4" s="283"/>
      <c r="E4" s="283"/>
      <c r="F4" s="365"/>
      <c r="G4" s="1"/>
      <c r="H4" s="368"/>
      <c r="I4" s="1"/>
      <c r="J4" s="283" t="s">
        <v>144</v>
      </c>
      <c r="K4" s="283" t="s">
        <v>462</v>
      </c>
    </row>
    <row r="5" spans="1:11">
      <c r="C5" s="35"/>
      <c r="D5" s="35"/>
      <c r="E5" s="35"/>
      <c r="F5" s="325" t="s">
        <v>91</v>
      </c>
      <c r="G5" s="35"/>
      <c r="H5" s="35"/>
      <c r="I5" s="35"/>
      <c r="J5" s="7" t="s">
        <v>453</v>
      </c>
      <c r="K5" s="7" t="s">
        <v>453</v>
      </c>
    </row>
    <row r="6" spans="1:11">
      <c r="B6" s="35"/>
      <c r="C6" s="35"/>
      <c r="D6" s="35"/>
      <c r="E6" s="35"/>
      <c r="F6" s="35"/>
      <c r="G6" s="35"/>
      <c r="H6" s="35"/>
      <c r="I6" s="35"/>
      <c r="J6" s="7"/>
      <c r="K6" s="7"/>
    </row>
    <row r="7" spans="1:11">
      <c r="A7" s="10" t="s">
        <v>273</v>
      </c>
      <c r="B7" s="29">
        <v>66</v>
      </c>
      <c r="C7" s="29">
        <v>863.505</v>
      </c>
      <c r="D7" s="29">
        <v>0</v>
      </c>
      <c r="E7" s="29">
        <f>+B7+C7+D7</f>
        <v>929.505</v>
      </c>
      <c r="F7" s="29">
        <f t="shared" ref="F7:F25" si="0">+H7-G7</f>
        <v>673.27199999999993</v>
      </c>
      <c r="G7" s="29">
        <v>180.53299999999999</v>
      </c>
      <c r="H7" s="29">
        <f t="shared" ref="H7:H45" si="1">+E7-I7</f>
        <v>853.80499999999995</v>
      </c>
      <c r="I7" s="29">
        <v>75.7</v>
      </c>
      <c r="J7" s="31">
        <v>25.22</v>
      </c>
      <c r="K7" s="236" t="s">
        <v>315</v>
      </c>
    </row>
    <row r="8" spans="1:11">
      <c r="A8" s="10" t="s">
        <v>274</v>
      </c>
      <c r="B8" s="29">
        <f t="shared" ref="B8:B25" si="2">+I7</f>
        <v>75.7</v>
      </c>
      <c r="C8" s="29">
        <v>871.52300000000002</v>
      </c>
      <c r="D8" s="29">
        <v>0</v>
      </c>
      <c r="E8" s="29">
        <f t="shared" ref="E8:E30" si="3">+B8+C8+D8</f>
        <v>947.22300000000007</v>
      </c>
      <c r="F8" s="29">
        <f t="shared" si="0"/>
        <v>692.17400000000009</v>
      </c>
      <c r="G8" s="29">
        <v>202.249</v>
      </c>
      <c r="H8" s="29">
        <f t="shared" si="1"/>
        <v>894.42300000000012</v>
      </c>
      <c r="I8" s="29">
        <v>52.8</v>
      </c>
      <c r="J8" s="31">
        <v>23.42</v>
      </c>
      <c r="K8" s="236" t="s">
        <v>315</v>
      </c>
    </row>
    <row r="9" spans="1:11">
      <c r="A9" s="10" t="s">
        <v>275</v>
      </c>
      <c r="B9" s="29">
        <f t="shared" si="2"/>
        <v>52.8</v>
      </c>
      <c r="C9" s="29">
        <v>982.59699999999998</v>
      </c>
      <c r="D9" s="29">
        <v>0.56000000000000005</v>
      </c>
      <c r="E9" s="29">
        <f t="shared" si="3"/>
        <v>1035.9569999999999</v>
      </c>
      <c r="F9" s="29">
        <f t="shared" si="0"/>
        <v>722.07899999999995</v>
      </c>
      <c r="G9" s="29">
        <v>224.37799999999999</v>
      </c>
      <c r="H9" s="29">
        <f t="shared" si="1"/>
        <v>946.45699999999988</v>
      </c>
      <c r="I9" s="29">
        <v>89.5</v>
      </c>
      <c r="J9" s="31">
        <v>23.82</v>
      </c>
      <c r="K9" s="236" t="s">
        <v>315</v>
      </c>
    </row>
    <row r="10" spans="1:11">
      <c r="A10" s="10" t="s">
        <v>276</v>
      </c>
      <c r="B10" s="29">
        <f t="shared" si="2"/>
        <v>89.5</v>
      </c>
      <c r="C10" s="29">
        <v>1052.9839999999999</v>
      </c>
      <c r="D10" s="29">
        <v>0</v>
      </c>
      <c r="E10" s="29">
        <f t="shared" si="3"/>
        <v>1142.4839999999999</v>
      </c>
      <c r="F10" s="29">
        <f t="shared" si="0"/>
        <v>762.15299999999991</v>
      </c>
      <c r="G10" s="29">
        <v>310.63099999999997</v>
      </c>
      <c r="H10" s="29">
        <f t="shared" si="1"/>
        <v>1072.7839999999999</v>
      </c>
      <c r="I10" s="29">
        <v>69.7</v>
      </c>
      <c r="J10" s="31">
        <v>28.62</v>
      </c>
      <c r="K10" s="236" t="s">
        <v>315</v>
      </c>
    </row>
    <row r="11" spans="1:11">
      <c r="A11" s="10" t="s">
        <v>277</v>
      </c>
      <c r="B11" s="29">
        <f t="shared" si="2"/>
        <v>69.7</v>
      </c>
      <c r="C11" s="29">
        <v>1193.9480000000001</v>
      </c>
      <c r="D11" s="29">
        <v>0</v>
      </c>
      <c r="E11" s="29">
        <f t="shared" si="3"/>
        <v>1263.6480000000001</v>
      </c>
      <c r="F11" s="29">
        <f t="shared" si="0"/>
        <v>930.08800000000019</v>
      </c>
      <c r="G11" s="29">
        <v>260.06</v>
      </c>
      <c r="H11" s="29">
        <f t="shared" si="1"/>
        <v>1190.1480000000001</v>
      </c>
      <c r="I11" s="29">
        <v>73.5</v>
      </c>
      <c r="J11" s="31">
        <v>29.14</v>
      </c>
      <c r="K11" s="236" t="s">
        <v>315</v>
      </c>
    </row>
    <row r="12" spans="1:11">
      <c r="A12" s="10" t="s">
        <v>278</v>
      </c>
      <c r="B12" s="29">
        <f t="shared" si="2"/>
        <v>73.5</v>
      </c>
      <c r="C12" s="29">
        <v>1252.7260000000001</v>
      </c>
      <c r="D12" s="29">
        <v>0</v>
      </c>
      <c r="E12" s="29">
        <f t="shared" si="3"/>
        <v>1326.2260000000001</v>
      </c>
      <c r="F12" s="29">
        <f t="shared" si="0"/>
        <v>862.09400000000005</v>
      </c>
      <c r="G12" s="29">
        <v>343.93200000000002</v>
      </c>
      <c r="H12" s="29">
        <f t="shared" si="1"/>
        <v>1206.0260000000001</v>
      </c>
      <c r="I12" s="29">
        <v>120.2</v>
      </c>
      <c r="J12" s="31">
        <v>18.46</v>
      </c>
      <c r="K12" s="236" t="s">
        <v>315</v>
      </c>
    </row>
    <row r="13" spans="1:11">
      <c r="A13" s="10" t="s">
        <v>279</v>
      </c>
      <c r="B13" s="29">
        <f t="shared" si="2"/>
        <v>120.2</v>
      </c>
      <c r="C13" s="29">
        <v>1400.1</v>
      </c>
      <c r="D13" s="29">
        <v>0</v>
      </c>
      <c r="E13" s="29">
        <f t="shared" si="3"/>
        <v>1520.3</v>
      </c>
      <c r="F13" s="29">
        <f t="shared" si="0"/>
        <v>1143.1129999999998</v>
      </c>
      <c r="G13" s="29">
        <v>267.78699999999998</v>
      </c>
      <c r="H13" s="29">
        <f t="shared" si="1"/>
        <v>1410.8999999999999</v>
      </c>
      <c r="I13" s="29">
        <v>109.4</v>
      </c>
      <c r="J13" s="31">
        <v>21.43</v>
      </c>
      <c r="K13" s="236" t="s">
        <v>315</v>
      </c>
    </row>
    <row r="14" spans="1:11">
      <c r="A14" s="10" t="s">
        <v>280</v>
      </c>
      <c r="B14" s="29">
        <f t="shared" si="2"/>
        <v>109.4</v>
      </c>
      <c r="C14" s="29">
        <v>1435.2950000000001</v>
      </c>
      <c r="D14" s="29">
        <v>2.234</v>
      </c>
      <c r="E14" s="29">
        <f t="shared" si="3"/>
        <v>1546.9290000000001</v>
      </c>
      <c r="F14" s="29">
        <f t="shared" si="0"/>
        <v>1065.9180000000001</v>
      </c>
      <c r="G14" s="29">
        <v>369.911</v>
      </c>
      <c r="H14" s="29">
        <f t="shared" si="1"/>
        <v>1435.8290000000002</v>
      </c>
      <c r="I14" s="29">
        <v>111.1</v>
      </c>
      <c r="J14" s="31">
        <v>23.27</v>
      </c>
      <c r="K14" s="236" t="s">
        <v>315</v>
      </c>
    </row>
    <row r="15" spans="1:11">
      <c r="A15" s="10" t="s">
        <v>281</v>
      </c>
      <c r="B15" s="29">
        <f t="shared" si="2"/>
        <v>111.1</v>
      </c>
      <c r="C15" s="29">
        <v>1414.8869999999999</v>
      </c>
      <c r="D15" s="29">
        <v>0.80338098975399985</v>
      </c>
      <c r="E15" s="29">
        <f t="shared" si="3"/>
        <v>1526.7903809897539</v>
      </c>
      <c r="F15" s="29">
        <f t="shared" si="0"/>
        <v>1064.395915756128</v>
      </c>
      <c r="G15" s="29">
        <v>363.89446523362597</v>
      </c>
      <c r="H15" s="29">
        <f t="shared" si="1"/>
        <v>1428.2903809897539</v>
      </c>
      <c r="I15" s="29">
        <v>98.5</v>
      </c>
      <c r="J15" s="31">
        <v>21.01</v>
      </c>
      <c r="K15" s="236" t="s">
        <v>315</v>
      </c>
    </row>
    <row r="16" spans="1:11">
      <c r="A16" s="10" t="s">
        <v>9</v>
      </c>
      <c r="B16" s="29">
        <f t="shared" si="2"/>
        <v>98.5</v>
      </c>
      <c r="C16" s="29">
        <v>1470.3</v>
      </c>
      <c r="D16" s="29">
        <v>0</v>
      </c>
      <c r="E16" s="29">
        <f t="shared" si="3"/>
        <v>1568.8</v>
      </c>
      <c r="F16" s="29">
        <f t="shared" si="0"/>
        <v>1111.1774949968681</v>
      </c>
      <c r="G16" s="29">
        <v>413.52250500313204</v>
      </c>
      <c r="H16" s="29">
        <f t="shared" si="1"/>
        <v>1524.7</v>
      </c>
      <c r="I16" s="29">
        <v>44.1</v>
      </c>
      <c r="J16" s="31">
        <v>24.82</v>
      </c>
      <c r="K16" s="236" t="s">
        <v>315</v>
      </c>
    </row>
    <row r="17" spans="1:11">
      <c r="A17" s="10" t="s">
        <v>10</v>
      </c>
      <c r="B17" s="29">
        <f t="shared" si="2"/>
        <v>44.1</v>
      </c>
      <c r="C17" s="29">
        <v>1655.9290000000001</v>
      </c>
      <c r="D17" s="29">
        <v>1.7629999999999999</v>
      </c>
      <c r="E17" s="29">
        <f t="shared" si="3"/>
        <v>1701.7919999999999</v>
      </c>
      <c r="F17" s="29">
        <f t="shared" si="0"/>
        <v>1065.3483889999998</v>
      </c>
      <c r="G17" s="29">
        <v>498.05261100000001</v>
      </c>
      <c r="H17" s="29">
        <f t="shared" si="1"/>
        <v>1563.4009999999998</v>
      </c>
      <c r="I17" s="29">
        <v>138.39099999999999</v>
      </c>
      <c r="J17" s="31">
        <v>27.5</v>
      </c>
      <c r="K17" s="236" t="s">
        <v>315</v>
      </c>
    </row>
    <row r="18" spans="1:11">
      <c r="A18" s="10" t="s">
        <v>11</v>
      </c>
      <c r="B18" s="29">
        <f t="shared" si="2"/>
        <v>138.39099999999999</v>
      </c>
      <c r="C18" s="29">
        <v>1821.2860000000001</v>
      </c>
      <c r="D18" s="29">
        <v>5.0516480000000001</v>
      </c>
      <c r="E18" s="29">
        <f t="shared" si="3"/>
        <v>1964.7286480000002</v>
      </c>
      <c r="F18" s="29">
        <f t="shared" si="0"/>
        <v>1201.9076180000002</v>
      </c>
      <c r="G18" s="29">
        <v>566.41503</v>
      </c>
      <c r="H18" s="29">
        <f t="shared" si="1"/>
        <v>1768.3226480000003</v>
      </c>
      <c r="I18" s="29">
        <v>196.40600000000001</v>
      </c>
      <c r="J18" s="31">
        <v>25.82</v>
      </c>
      <c r="K18" s="236" t="s">
        <v>315</v>
      </c>
    </row>
    <row r="19" spans="1:11">
      <c r="A19" s="10" t="s">
        <v>12</v>
      </c>
      <c r="B19" s="29">
        <f t="shared" si="2"/>
        <v>196.40600000000001</v>
      </c>
      <c r="C19" s="29">
        <v>1877.7349999999999</v>
      </c>
      <c r="D19" s="29">
        <v>7.1773719999999983</v>
      </c>
      <c r="E19" s="29">
        <f t="shared" si="3"/>
        <v>2081.3183720000002</v>
      </c>
      <c r="F19" s="29">
        <f t="shared" si="0"/>
        <v>1220.0821429999999</v>
      </c>
      <c r="G19" s="29">
        <v>711.5392290000002</v>
      </c>
      <c r="H19" s="29">
        <f t="shared" si="1"/>
        <v>1931.6213720000001</v>
      </c>
      <c r="I19" s="29">
        <v>149.697</v>
      </c>
      <c r="J19" s="31">
        <v>20.9</v>
      </c>
      <c r="K19" s="236" t="s">
        <v>315</v>
      </c>
    </row>
    <row r="20" spans="1:11">
      <c r="A20" s="10" t="s">
        <v>13</v>
      </c>
      <c r="B20" s="29">
        <f t="shared" si="2"/>
        <v>149.697</v>
      </c>
      <c r="C20" s="29">
        <v>1906.184</v>
      </c>
      <c r="D20" s="29">
        <v>6.6099520000000007</v>
      </c>
      <c r="E20" s="29">
        <f t="shared" si="3"/>
        <v>2062.4909519999997</v>
      </c>
      <c r="F20" s="29">
        <f t="shared" si="0"/>
        <v>1227.6414919999997</v>
      </c>
      <c r="G20" s="29">
        <v>716.57746000000009</v>
      </c>
      <c r="H20" s="29">
        <f t="shared" si="1"/>
        <v>1944.2189519999997</v>
      </c>
      <c r="I20" s="29">
        <v>118.27200000000001</v>
      </c>
      <c r="J20" s="31">
        <v>27.17</v>
      </c>
      <c r="K20" s="236" t="s">
        <v>315</v>
      </c>
    </row>
    <row r="21" spans="1:11">
      <c r="A21" s="10" t="s">
        <v>14</v>
      </c>
      <c r="B21" s="29">
        <f t="shared" si="2"/>
        <v>118.27200000000001</v>
      </c>
      <c r="C21" s="29">
        <v>2227.46</v>
      </c>
      <c r="D21" s="29">
        <v>10.077254118994</v>
      </c>
      <c r="E21" s="29">
        <f t="shared" si="3"/>
        <v>2355.809254118994</v>
      </c>
      <c r="F21" s="29">
        <f t="shared" si="0"/>
        <v>1249.6817045895559</v>
      </c>
      <c r="G21" s="29">
        <v>865.47554952943801</v>
      </c>
      <c r="H21" s="29">
        <f t="shared" si="1"/>
        <v>2115.1572541189939</v>
      </c>
      <c r="I21" s="29">
        <v>240.65199999999999</v>
      </c>
      <c r="J21" s="31">
        <v>26.47</v>
      </c>
      <c r="K21" s="236" t="s">
        <v>315</v>
      </c>
    </row>
    <row r="22" spans="1:11">
      <c r="A22" s="10" t="s">
        <v>15</v>
      </c>
      <c r="B22" s="29">
        <f t="shared" si="2"/>
        <v>240.65199999999999</v>
      </c>
      <c r="C22" s="29">
        <v>2138.9589999999998</v>
      </c>
      <c r="D22" s="29">
        <v>10.992614835148885</v>
      </c>
      <c r="E22" s="29">
        <f t="shared" si="3"/>
        <v>2390.6036148351486</v>
      </c>
      <c r="F22" s="29">
        <f t="shared" si="0"/>
        <v>1298.3008951060265</v>
      </c>
      <c r="G22" s="29">
        <v>976.51471972912202</v>
      </c>
      <c r="H22" s="29">
        <f t="shared" si="1"/>
        <v>2274.8156148351486</v>
      </c>
      <c r="I22" s="29">
        <v>115.788</v>
      </c>
      <c r="J22" s="31">
        <v>25.24</v>
      </c>
      <c r="K22" s="236" t="s">
        <v>315</v>
      </c>
    </row>
    <row r="23" spans="1:11">
      <c r="A23" s="10" t="s">
        <v>16</v>
      </c>
      <c r="B23" s="29">
        <f t="shared" si="2"/>
        <v>115.788</v>
      </c>
      <c r="C23" s="29">
        <v>2231.3690000000001</v>
      </c>
      <c r="D23" s="29">
        <v>13.522084310952</v>
      </c>
      <c r="E23" s="29">
        <f t="shared" si="3"/>
        <v>2360.679084310952</v>
      </c>
      <c r="F23" s="29">
        <f t="shared" si="0"/>
        <v>1244.2017755718139</v>
      </c>
      <c r="G23" s="29">
        <v>987.70830873913803</v>
      </c>
      <c r="H23" s="29">
        <f t="shared" si="1"/>
        <v>2231.9100843109518</v>
      </c>
      <c r="I23" s="29">
        <v>128.76900000000001</v>
      </c>
      <c r="J23" s="31">
        <v>24.05</v>
      </c>
      <c r="K23" s="236" t="s">
        <v>315</v>
      </c>
    </row>
    <row r="24" spans="1:11">
      <c r="A24" s="10" t="s">
        <v>17</v>
      </c>
      <c r="B24" s="29">
        <f t="shared" si="2"/>
        <v>128.76900000000001</v>
      </c>
      <c r="C24" s="29">
        <v>2334.7849999999999</v>
      </c>
      <c r="D24" s="29">
        <v>28.141759526202001</v>
      </c>
      <c r="E24" s="29">
        <f t="shared" si="3"/>
        <v>2491.695759526202</v>
      </c>
      <c r="F24" s="29">
        <f t="shared" si="0"/>
        <v>1271.3171383667341</v>
      </c>
      <c r="G24" s="29">
        <v>1118.4876211594678</v>
      </c>
      <c r="H24" s="29">
        <f t="shared" si="1"/>
        <v>2389.8047595262019</v>
      </c>
      <c r="I24" s="29">
        <v>101.89100000000001</v>
      </c>
      <c r="J24" s="31">
        <v>28.94</v>
      </c>
      <c r="K24" s="236" t="s">
        <v>315</v>
      </c>
    </row>
    <row r="25" spans="1:11">
      <c r="A25" s="10" t="s">
        <v>18</v>
      </c>
      <c r="B25" s="29">
        <f t="shared" si="2"/>
        <v>101.89100000000001</v>
      </c>
      <c r="C25" s="29">
        <v>2374.4160000000002</v>
      </c>
      <c r="D25" s="29">
        <v>42.447928674564004</v>
      </c>
      <c r="E25" s="29">
        <f t="shared" si="3"/>
        <v>2518.7549286745643</v>
      </c>
      <c r="F25" s="29">
        <f t="shared" si="0"/>
        <v>1394.0783954758404</v>
      </c>
      <c r="G25" s="29">
        <v>989.25653319872401</v>
      </c>
      <c r="H25" s="29">
        <f t="shared" si="1"/>
        <v>2383.3349286745643</v>
      </c>
      <c r="I25" s="29">
        <v>135.41999999999999</v>
      </c>
      <c r="J25" s="31">
        <v>25.3</v>
      </c>
      <c r="K25" s="236" t="s">
        <v>315</v>
      </c>
    </row>
    <row r="26" spans="1:11">
      <c r="A26" s="10" t="s">
        <v>19</v>
      </c>
      <c r="B26" s="29">
        <f t="shared" ref="B26:B31" si="4">+I25</f>
        <v>135.41999999999999</v>
      </c>
      <c r="C26" s="29">
        <v>2501.3969999999999</v>
      </c>
      <c r="D26" s="29">
        <v>17.533043505054</v>
      </c>
      <c r="E26" s="29">
        <f t="shared" si="3"/>
        <v>2654.3500435050541</v>
      </c>
      <c r="F26" s="29">
        <f t="shared" ref="F26:F31" si="5">+H26-G26</f>
        <v>1416.9118689254624</v>
      </c>
      <c r="G26" s="29">
        <v>970.07917457959184</v>
      </c>
      <c r="H26" s="29">
        <f t="shared" si="1"/>
        <v>2386.9910435050542</v>
      </c>
      <c r="I26" s="29">
        <v>267.35899999999998</v>
      </c>
      <c r="J26" s="31">
        <v>17.809999999999999</v>
      </c>
      <c r="K26" s="236" t="s">
        <v>315</v>
      </c>
    </row>
    <row r="27" spans="1:11">
      <c r="A27" s="62" t="s">
        <v>337</v>
      </c>
      <c r="B27" s="71">
        <f t="shared" si="4"/>
        <v>267.35899999999998</v>
      </c>
      <c r="C27" s="71">
        <v>2403.192</v>
      </c>
      <c r="D27" s="29">
        <v>27.287245834379998</v>
      </c>
      <c r="E27" s="29">
        <f t="shared" si="3"/>
        <v>2697.8382458343799</v>
      </c>
      <c r="F27" s="71">
        <f t="shared" si="5"/>
        <v>1630.443410628096</v>
      </c>
      <c r="G27" s="71">
        <v>950.78583520628399</v>
      </c>
      <c r="H27" s="71">
        <f t="shared" si="1"/>
        <v>2581.22924583438</v>
      </c>
      <c r="I27" s="71">
        <v>116.60899999999999</v>
      </c>
      <c r="J27" s="31">
        <v>13.54</v>
      </c>
      <c r="K27" s="236" t="s">
        <v>315</v>
      </c>
    </row>
    <row r="28" spans="1:11">
      <c r="A28" s="62" t="s">
        <v>341</v>
      </c>
      <c r="B28" s="71">
        <f t="shared" si="4"/>
        <v>116.60899999999999</v>
      </c>
      <c r="C28" s="71">
        <v>2461.4560000000001</v>
      </c>
      <c r="D28" s="29">
        <v>61.393407356357997</v>
      </c>
      <c r="E28" s="29">
        <f t="shared" si="3"/>
        <v>2639.4584073563578</v>
      </c>
      <c r="F28" s="71">
        <f t="shared" si="5"/>
        <v>1363.0188588097576</v>
      </c>
      <c r="G28" s="71">
        <v>1172.3745485466002</v>
      </c>
      <c r="H28" s="71">
        <f t="shared" si="1"/>
        <v>2535.3934073563578</v>
      </c>
      <c r="I28" s="71">
        <v>104.065</v>
      </c>
      <c r="J28" s="31">
        <v>19.14</v>
      </c>
      <c r="K28" s="236" t="s">
        <v>315</v>
      </c>
    </row>
    <row r="29" spans="1:11">
      <c r="A29" s="62" t="s">
        <v>353</v>
      </c>
      <c r="B29" s="71">
        <f t="shared" si="4"/>
        <v>104.065</v>
      </c>
      <c r="C29" s="71">
        <v>2453.0439999999999</v>
      </c>
      <c r="D29" s="29">
        <v>65.615917668335996</v>
      </c>
      <c r="E29" s="29">
        <f t="shared" si="3"/>
        <v>2622.7249176683358</v>
      </c>
      <c r="F29" s="71">
        <f t="shared" si="5"/>
        <v>1615.0979483683259</v>
      </c>
      <c r="G29" s="71">
        <v>888.27296930001</v>
      </c>
      <c r="H29" s="71">
        <f t="shared" si="1"/>
        <v>2503.370917668336</v>
      </c>
      <c r="I29" s="71">
        <v>119.354</v>
      </c>
      <c r="J29" s="31">
        <v>28.17</v>
      </c>
      <c r="K29" s="236" t="s">
        <v>315</v>
      </c>
    </row>
    <row r="30" spans="1:11">
      <c r="A30" s="62" t="s">
        <v>364</v>
      </c>
      <c r="B30" s="71">
        <f t="shared" si="4"/>
        <v>119.354</v>
      </c>
      <c r="C30" s="71">
        <v>2396.4520000000002</v>
      </c>
      <c r="D30" s="29">
        <v>66.015042435216003</v>
      </c>
      <c r="E30" s="29">
        <f t="shared" si="3"/>
        <v>2581.821042435216</v>
      </c>
      <c r="F30" s="71">
        <f t="shared" si="5"/>
        <v>1662.059957777708</v>
      </c>
      <c r="G30" s="71">
        <v>766.88308465750799</v>
      </c>
      <c r="H30" s="71">
        <f t="shared" si="1"/>
        <v>2428.9430424352158</v>
      </c>
      <c r="I30" s="71">
        <v>152.87799999999999</v>
      </c>
      <c r="J30" s="31">
        <v>28.43</v>
      </c>
      <c r="K30" s="236" t="s">
        <v>315</v>
      </c>
    </row>
    <row r="31" spans="1:11">
      <c r="A31" s="62" t="s">
        <v>366</v>
      </c>
      <c r="B31" s="71">
        <f t="shared" si="4"/>
        <v>152.87799999999999</v>
      </c>
      <c r="C31" s="71">
        <v>2396.105</v>
      </c>
      <c r="D31" s="29">
        <v>49.0514064957</v>
      </c>
      <c r="E31" s="29">
        <f t="shared" ref="E31:E36" si="6">+B31+C31+D31</f>
        <v>2598.0344064957003</v>
      </c>
      <c r="F31" s="71">
        <f t="shared" si="5"/>
        <v>1653.0855688741904</v>
      </c>
      <c r="G31" s="71">
        <v>789.40283762151012</v>
      </c>
      <c r="H31" s="71">
        <f t="shared" si="1"/>
        <v>2442.4884064957005</v>
      </c>
      <c r="I31" s="71">
        <v>155.54599999999999</v>
      </c>
      <c r="J31" s="31">
        <v>27.86</v>
      </c>
      <c r="K31" s="236" t="s">
        <v>315</v>
      </c>
    </row>
    <row r="32" spans="1:11">
      <c r="A32" s="62" t="s">
        <v>385</v>
      </c>
      <c r="B32" s="71">
        <f t="shared" ref="B32:B37" si="7">+I31</f>
        <v>155.54599999999999</v>
      </c>
      <c r="C32" s="71">
        <v>2482.7339999999999</v>
      </c>
      <c r="D32" s="29">
        <v>45.018266599656002</v>
      </c>
      <c r="E32" s="29">
        <f t="shared" si="6"/>
        <v>2683.2982665996556</v>
      </c>
      <c r="F32" s="71">
        <f t="shared" ref="F32:F39" si="8">+H32-G32</f>
        <v>1684.6369031388035</v>
      </c>
      <c r="G32" s="71">
        <v>798.77636346085228</v>
      </c>
      <c r="H32" s="71">
        <f t="shared" si="1"/>
        <v>2483.4132665996558</v>
      </c>
      <c r="I32" s="71">
        <v>199.88499999999999</v>
      </c>
      <c r="J32" s="31">
        <v>25.18</v>
      </c>
      <c r="K32" s="236" t="s">
        <v>315</v>
      </c>
    </row>
    <row r="33" spans="1:12">
      <c r="A33" s="62" t="s">
        <v>400</v>
      </c>
      <c r="B33" s="71">
        <f t="shared" si="7"/>
        <v>199.88499999999999</v>
      </c>
      <c r="C33" s="71">
        <v>2560.2550000000001</v>
      </c>
      <c r="D33" s="29">
        <v>43.093466247005999</v>
      </c>
      <c r="E33" s="29">
        <f t="shared" si="6"/>
        <v>2803.2334662470062</v>
      </c>
      <c r="F33" s="71">
        <f t="shared" si="8"/>
        <v>1831.6070154047379</v>
      </c>
      <c r="G33" s="71">
        <v>792.96945084226809</v>
      </c>
      <c r="H33" s="71">
        <f t="shared" si="1"/>
        <v>2624.576466247006</v>
      </c>
      <c r="I33" s="71">
        <v>178.65700000000001</v>
      </c>
      <c r="J33" s="31">
        <v>31.81</v>
      </c>
      <c r="K33" s="236" t="s">
        <v>315</v>
      </c>
    </row>
    <row r="34" spans="1:12">
      <c r="A34" s="62" t="s">
        <v>404</v>
      </c>
      <c r="B34" s="71">
        <f t="shared" si="7"/>
        <v>178.65700000000001</v>
      </c>
      <c r="C34" s="71">
        <v>2506.8400499999998</v>
      </c>
      <c r="D34" s="29">
        <v>45.188242955856005</v>
      </c>
      <c r="E34" s="29">
        <f t="shared" si="6"/>
        <v>2730.6852929558559</v>
      </c>
      <c r="F34" s="71">
        <f t="shared" si="8"/>
        <v>1756.0666496253439</v>
      </c>
      <c r="G34" s="71">
        <v>769.257643330512</v>
      </c>
      <c r="H34" s="71">
        <f t="shared" si="1"/>
        <v>2525.324292955856</v>
      </c>
      <c r="I34" s="71">
        <v>205.36099999999999</v>
      </c>
      <c r="J34" s="31">
        <v>69.400000000000006</v>
      </c>
      <c r="K34" s="236" t="s">
        <v>315</v>
      </c>
    </row>
    <row r="35" spans="1:12">
      <c r="A35" s="62" t="s">
        <v>411</v>
      </c>
      <c r="B35" s="71">
        <f t="shared" si="7"/>
        <v>205.36099999999999</v>
      </c>
      <c r="C35" s="71">
        <v>2418.4557500000001</v>
      </c>
      <c r="D35" s="29">
        <v>43.485108526818003</v>
      </c>
      <c r="E35" s="29">
        <f t="shared" si="6"/>
        <v>2667.3018585268178</v>
      </c>
      <c r="F35" s="71">
        <f t="shared" si="8"/>
        <v>1567.7993531418733</v>
      </c>
      <c r="G35" s="71">
        <v>813.70250538494417</v>
      </c>
      <c r="H35" s="71">
        <f t="shared" si="1"/>
        <v>2381.5018585268176</v>
      </c>
      <c r="I35" s="71">
        <v>285.8</v>
      </c>
      <c r="J35" s="31">
        <v>32.75</v>
      </c>
      <c r="K35" s="236" t="s">
        <v>315</v>
      </c>
    </row>
    <row r="36" spans="1:12">
      <c r="A36" s="62" t="s">
        <v>417</v>
      </c>
      <c r="B36" s="71">
        <f t="shared" si="7"/>
        <v>285.8</v>
      </c>
      <c r="C36" s="71">
        <v>2485.1489999999999</v>
      </c>
      <c r="D36" s="29">
        <v>37.046113143858008</v>
      </c>
      <c r="E36" s="29">
        <f t="shared" si="6"/>
        <v>2807.9951131438579</v>
      </c>
      <c r="F36" s="71">
        <f t="shared" si="8"/>
        <v>1895.0803012535878</v>
      </c>
      <c r="G36" s="71">
        <v>774.09081189027006</v>
      </c>
      <c r="H36" s="71">
        <f t="shared" si="1"/>
        <v>2669.1711131438578</v>
      </c>
      <c r="I36" s="71">
        <v>138.82400000000001</v>
      </c>
      <c r="J36" s="31">
        <v>39.29</v>
      </c>
      <c r="K36" s="236" t="s">
        <v>315</v>
      </c>
    </row>
    <row r="37" spans="1:12">
      <c r="A37" s="62" t="s">
        <v>420</v>
      </c>
      <c r="B37" s="71">
        <f t="shared" si="7"/>
        <v>138.82400000000001</v>
      </c>
      <c r="C37" s="71">
        <v>3650</v>
      </c>
      <c r="D37" s="29">
        <v>47.564953339931989</v>
      </c>
      <c r="E37" s="29">
        <f t="shared" ref="E37:E42" si="9">+B37+C37+D37</f>
        <v>3836.388953339932</v>
      </c>
      <c r="F37" s="71">
        <f t="shared" si="8"/>
        <v>2804.644150177066</v>
      </c>
      <c r="G37" s="71">
        <v>791.74480316286599</v>
      </c>
      <c r="H37" s="71">
        <f t="shared" si="1"/>
        <v>3596.388953339932</v>
      </c>
      <c r="I37" s="71">
        <v>240</v>
      </c>
      <c r="J37" s="31">
        <v>60.76</v>
      </c>
      <c r="K37" s="236" t="s">
        <v>315</v>
      </c>
    </row>
    <row r="38" spans="1:12">
      <c r="A38" s="62" t="s">
        <v>425</v>
      </c>
      <c r="B38" s="71">
        <f>+I37</f>
        <v>240</v>
      </c>
      <c r="C38" s="71">
        <v>3625</v>
      </c>
      <c r="D38" s="29">
        <v>45.753717475746001</v>
      </c>
      <c r="E38" s="29">
        <f t="shared" si="9"/>
        <v>3910.7537174757458</v>
      </c>
      <c r="F38" s="71">
        <f t="shared" si="8"/>
        <v>2742.3548912957858</v>
      </c>
      <c r="G38" s="71">
        <v>1003.3988261799599</v>
      </c>
      <c r="H38" s="71">
        <f t="shared" si="1"/>
        <v>3745.7537174757458</v>
      </c>
      <c r="I38" s="71">
        <v>165</v>
      </c>
      <c r="J38" s="31">
        <v>56.09</v>
      </c>
      <c r="K38" s="236" t="s">
        <v>315</v>
      </c>
    </row>
    <row r="39" spans="1:12">
      <c r="A39" s="62" t="s">
        <v>438</v>
      </c>
      <c r="B39" s="71">
        <f>+I38</f>
        <v>165</v>
      </c>
      <c r="C39" s="71">
        <v>3685</v>
      </c>
      <c r="D39" s="29">
        <v>60.04575499708799</v>
      </c>
      <c r="E39" s="29">
        <f t="shared" si="9"/>
        <v>3910.0457549970879</v>
      </c>
      <c r="F39" s="71">
        <f t="shared" si="8"/>
        <v>2726.2658212555179</v>
      </c>
      <c r="G39" s="71">
        <v>1018.7799337415701</v>
      </c>
      <c r="H39" s="71">
        <f t="shared" si="1"/>
        <v>3745.0457549970879</v>
      </c>
      <c r="I39" s="71">
        <v>165</v>
      </c>
      <c r="J39" s="31">
        <v>46.66</v>
      </c>
      <c r="K39" s="31">
        <v>36.770000000000003</v>
      </c>
    </row>
    <row r="40" spans="1:12">
      <c r="A40" s="62" t="s">
        <v>464</v>
      </c>
      <c r="B40" s="71">
        <f>+I39</f>
        <v>165</v>
      </c>
      <c r="C40" s="71">
        <v>3890</v>
      </c>
      <c r="D40" s="29">
        <v>42.076685762118004</v>
      </c>
      <c r="E40" s="29">
        <f t="shared" si="9"/>
        <v>4097.0766857621184</v>
      </c>
      <c r="F40" s="71">
        <f t="shared" ref="F40:F45" si="10">+H40-G40</f>
        <v>2927.9301510077485</v>
      </c>
      <c r="G40" s="71">
        <v>1004.1465347543701</v>
      </c>
      <c r="H40" s="71">
        <f t="shared" si="1"/>
        <v>3932.0766857621184</v>
      </c>
      <c r="I40" s="71">
        <v>165</v>
      </c>
      <c r="J40" s="31">
        <v>39.43</v>
      </c>
      <c r="K40" s="31">
        <v>31.55</v>
      </c>
    </row>
    <row r="41" spans="1:12">
      <c r="A41" s="62" t="s">
        <v>492</v>
      </c>
      <c r="B41" s="71">
        <f>+I40</f>
        <v>165</v>
      </c>
      <c r="C41" s="227">
        <v>4740</v>
      </c>
      <c r="D41" s="228">
        <v>38.809559416950002</v>
      </c>
      <c r="E41" s="29">
        <f t="shared" si="9"/>
        <v>4943.8095594169499</v>
      </c>
      <c r="F41" s="71">
        <f t="shared" si="10"/>
        <v>3870.2191376859719</v>
      </c>
      <c r="G41" s="227">
        <v>908.59042173097805</v>
      </c>
      <c r="H41" s="71">
        <f t="shared" si="1"/>
        <v>4778.8095594169499</v>
      </c>
      <c r="I41" s="227">
        <v>165</v>
      </c>
      <c r="J41" s="206">
        <v>37.479999999999997</v>
      </c>
      <c r="K41" s="206">
        <v>26.82</v>
      </c>
    </row>
    <row r="42" spans="1:12">
      <c r="A42" s="62" t="s">
        <v>505</v>
      </c>
      <c r="B42" s="71">
        <v>165</v>
      </c>
      <c r="C42" s="227">
        <v>5300</v>
      </c>
      <c r="D42" s="228">
        <v>82.837626659172017</v>
      </c>
      <c r="E42" s="29">
        <f t="shared" si="9"/>
        <v>5547.8376266591722</v>
      </c>
      <c r="F42" s="71">
        <f t="shared" si="10"/>
        <v>4288.8376266591722</v>
      </c>
      <c r="G42" s="227">
        <v>1094</v>
      </c>
      <c r="H42" s="71">
        <f t="shared" si="1"/>
        <v>5382.8376266591722</v>
      </c>
      <c r="I42" s="227">
        <v>165</v>
      </c>
      <c r="J42" s="206">
        <v>39.25</v>
      </c>
      <c r="K42" s="206">
        <v>26.21</v>
      </c>
    </row>
    <row r="43" spans="1:12">
      <c r="A43" s="62" t="s">
        <v>498</v>
      </c>
      <c r="B43" s="71">
        <v>165</v>
      </c>
      <c r="C43" s="227">
        <v>5850</v>
      </c>
      <c r="D43" s="227">
        <v>73</v>
      </c>
      <c r="E43" s="29">
        <f>+B43+C43+D43</f>
        <v>6088</v>
      </c>
      <c r="F43" s="71">
        <f t="shared" si="10"/>
        <v>4826</v>
      </c>
      <c r="G43" s="227">
        <v>1135</v>
      </c>
      <c r="H43" s="71">
        <f t="shared" si="1"/>
        <v>5961</v>
      </c>
      <c r="I43" s="227">
        <v>127</v>
      </c>
      <c r="J43" s="205">
        <v>37.43</v>
      </c>
      <c r="K43" s="206">
        <v>28.13</v>
      </c>
    </row>
    <row r="44" spans="1:12">
      <c r="A44" s="65" t="s">
        <v>569</v>
      </c>
      <c r="B44" s="71">
        <v>127</v>
      </c>
      <c r="C44" s="227">
        <v>6066.1379999999999</v>
      </c>
      <c r="D44" s="227">
        <v>62.283047290506005</v>
      </c>
      <c r="E44" s="71">
        <f>+B44+C44+D44</f>
        <v>6255.4210472905061</v>
      </c>
      <c r="F44" s="71">
        <f t="shared" si="10"/>
        <v>5435.4668618171654</v>
      </c>
      <c r="G44" s="227">
        <v>715.50118547334</v>
      </c>
      <c r="H44" s="71">
        <f t="shared" si="1"/>
        <v>6150.9680472905056</v>
      </c>
      <c r="I44" s="227">
        <v>104.453</v>
      </c>
      <c r="J44" s="205">
        <v>30.345833333333331</v>
      </c>
      <c r="K44" s="205">
        <v>36.840000000000003</v>
      </c>
    </row>
    <row r="45" spans="1:12">
      <c r="A45" s="46" t="s">
        <v>574</v>
      </c>
      <c r="B45" s="30">
        <f>I44</f>
        <v>104.453</v>
      </c>
      <c r="C45" s="266">
        <v>5850</v>
      </c>
      <c r="D45" s="266">
        <v>60</v>
      </c>
      <c r="E45" s="30">
        <f>+B45+C45+D45</f>
        <v>6014.4530000000004</v>
      </c>
      <c r="F45" s="30">
        <f t="shared" si="10"/>
        <v>5264.4530000000004</v>
      </c>
      <c r="G45" s="266">
        <v>600</v>
      </c>
      <c r="H45" s="30">
        <f t="shared" si="1"/>
        <v>5864.4530000000004</v>
      </c>
      <c r="I45" s="266">
        <v>150</v>
      </c>
      <c r="J45" s="322" t="s">
        <v>673</v>
      </c>
      <c r="K45" s="322" t="s">
        <v>674</v>
      </c>
    </row>
    <row r="46" spans="1:12" ht="13.2" customHeight="1">
      <c r="A46" s="107" t="s">
        <v>561</v>
      </c>
    </row>
    <row r="47" spans="1:12" ht="13.2" customHeight="1">
      <c r="A47" s="107" t="s">
        <v>557</v>
      </c>
    </row>
    <row r="48" spans="1:12" ht="10.199999999999999" customHeight="1">
      <c r="A48" t="s">
        <v>533</v>
      </c>
      <c r="K48" s="145"/>
      <c r="L48" s="145"/>
    </row>
    <row r="49" spans="11:12" ht="10.199999999999999" customHeight="1">
      <c r="K49" s="278" t="s">
        <v>679</v>
      </c>
      <c r="L49" s="161"/>
    </row>
  </sheetData>
  <phoneticPr fontId="0" type="noConversion"/>
  <pageMargins left="0.7" right="0.7" top="0.75" bottom="0.75" header="0.3" footer="0.3"/>
  <pageSetup scale="79" firstPageNumber="60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53"/>
  <sheetViews>
    <sheetView zoomScaleNormal="100" zoomScaleSheetLayoutView="100" workbookViewId="0">
      <selection activeCell="A105" sqref="A105"/>
    </sheetView>
  </sheetViews>
  <sheetFormatPr defaultColWidth="9.28515625" defaultRowHeight="10.199999999999999"/>
  <cols>
    <col min="1" max="1" width="50.7109375" style="139" customWidth="1"/>
    <col min="2" max="14" width="9.7109375" style="139" customWidth="1"/>
    <col min="15" max="16384" width="9.28515625" style="139"/>
  </cols>
  <sheetData>
    <row r="1" spans="1:14">
      <c r="A1" s="1" t="s">
        <v>652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>
      <c r="A2"/>
      <c r="B2"/>
      <c r="C2" s="279"/>
      <c r="D2" s="279"/>
      <c r="E2" s="279"/>
      <c r="F2" s="279"/>
      <c r="G2" s="279"/>
      <c r="H2" s="297">
        <v>2012</v>
      </c>
      <c r="I2" s="279"/>
      <c r="J2" s="279"/>
      <c r="K2" s="279"/>
      <c r="L2" s="279"/>
      <c r="M2" s="279"/>
      <c r="N2" s="279"/>
    </row>
    <row r="3" spans="1:14">
      <c r="A3" s="1" t="s">
        <v>288</v>
      </c>
      <c r="B3" s="9" t="s">
        <v>314</v>
      </c>
      <c r="C3" s="184" t="s">
        <v>155</v>
      </c>
      <c r="D3" s="184" t="s">
        <v>156</v>
      </c>
      <c r="E3" s="184" t="s">
        <v>157</v>
      </c>
      <c r="F3" s="184" t="s">
        <v>158</v>
      </c>
      <c r="G3" s="184" t="s">
        <v>148</v>
      </c>
      <c r="H3" s="184" t="s">
        <v>149</v>
      </c>
      <c r="I3" s="184" t="s">
        <v>150</v>
      </c>
      <c r="J3" s="184" t="s">
        <v>159</v>
      </c>
      <c r="K3" s="184" t="s">
        <v>160</v>
      </c>
      <c r="L3" s="184" t="s">
        <v>152</v>
      </c>
      <c r="M3" s="184" t="s">
        <v>153</v>
      </c>
      <c r="N3" s="184" t="s">
        <v>154</v>
      </c>
    </row>
    <row r="4" spans="1:14">
      <c r="A4" t="s">
        <v>289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4">
      <c r="A5" t="s">
        <v>290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>
      <c r="A6" t="s">
        <v>402</v>
      </c>
      <c r="B6" t="s">
        <v>297</v>
      </c>
      <c r="C6" s="78">
        <v>23.4</v>
      </c>
      <c r="D6" s="78">
        <v>24.8</v>
      </c>
      <c r="E6" s="78">
        <v>27.1</v>
      </c>
      <c r="F6" s="78">
        <v>27.8</v>
      </c>
      <c r="G6" s="78">
        <v>27.7</v>
      </c>
      <c r="H6" s="78">
        <v>27.4</v>
      </c>
      <c r="I6" s="78">
        <v>26.9</v>
      </c>
      <c r="J6" s="78">
        <v>25.3</v>
      </c>
      <c r="K6" s="78">
        <v>26.5</v>
      </c>
      <c r="L6" s="78">
        <v>27</v>
      </c>
      <c r="M6" s="78">
        <v>26.7</v>
      </c>
      <c r="N6" s="78">
        <v>27.1</v>
      </c>
    </row>
    <row r="7" spans="1:14">
      <c r="A7" t="s">
        <v>291</v>
      </c>
      <c r="B7" t="s">
        <v>287</v>
      </c>
      <c r="C7" s="78">
        <v>281</v>
      </c>
      <c r="D7" s="78">
        <v>276</v>
      </c>
      <c r="E7" s="57" t="s">
        <v>315</v>
      </c>
      <c r="F7" s="57" t="s">
        <v>315</v>
      </c>
      <c r="G7" s="57" t="s">
        <v>315</v>
      </c>
      <c r="H7" s="57" t="s">
        <v>315</v>
      </c>
      <c r="I7" s="57" t="s">
        <v>315</v>
      </c>
      <c r="J7" s="78">
        <v>235</v>
      </c>
      <c r="K7" s="78">
        <v>254</v>
      </c>
      <c r="L7" s="78">
        <v>254</v>
      </c>
      <c r="M7" s="78">
        <v>255</v>
      </c>
      <c r="N7" s="78">
        <v>252</v>
      </c>
    </row>
    <row r="8" spans="1:14">
      <c r="A8" t="s">
        <v>292</v>
      </c>
      <c r="B8" t="s">
        <v>293</v>
      </c>
      <c r="C8" s="78">
        <v>13.7</v>
      </c>
      <c r="D8" s="78">
        <v>13.2</v>
      </c>
      <c r="E8" s="78">
        <v>13.3</v>
      </c>
      <c r="F8" s="78">
        <v>14.1</v>
      </c>
      <c r="G8" s="78">
        <v>14.8</v>
      </c>
      <c r="H8" s="78">
        <v>12.9</v>
      </c>
      <c r="I8" s="78">
        <v>13.3</v>
      </c>
      <c r="J8" s="78">
        <v>13.3</v>
      </c>
      <c r="K8" s="78">
        <v>13.3</v>
      </c>
      <c r="L8" s="78">
        <v>13.6</v>
      </c>
      <c r="M8" s="78">
        <v>14.1</v>
      </c>
      <c r="N8" s="78">
        <v>13.8</v>
      </c>
    </row>
    <row r="9" spans="1:14">
      <c r="A9" t="s">
        <v>294</v>
      </c>
      <c r="B9" t="s">
        <v>295</v>
      </c>
      <c r="C9" s="78">
        <v>33.700000000000003</v>
      </c>
      <c r="D9" s="78">
        <v>32.9</v>
      </c>
      <c r="E9" s="78">
        <v>34.799999999999997</v>
      </c>
      <c r="F9" s="78">
        <v>35.099999999999994</v>
      </c>
      <c r="G9" s="78">
        <v>33.800000000000004</v>
      </c>
      <c r="H9" s="78">
        <v>34.4</v>
      </c>
      <c r="I9" s="78">
        <v>34.5</v>
      </c>
      <c r="J9" s="78">
        <v>30.4</v>
      </c>
      <c r="K9" s="78">
        <v>35.199999999999996</v>
      </c>
      <c r="L9" s="78">
        <v>33.800000000000004</v>
      </c>
      <c r="M9" s="78">
        <v>32.800000000000004</v>
      </c>
      <c r="N9" s="78">
        <v>38</v>
      </c>
    </row>
    <row r="10" spans="1:14">
      <c r="A10" t="s">
        <v>296</v>
      </c>
      <c r="B10" t="s">
        <v>293</v>
      </c>
      <c r="C10" s="78">
        <v>11.9</v>
      </c>
      <c r="D10" s="78">
        <v>12.2</v>
      </c>
      <c r="E10" s="78">
        <v>13</v>
      </c>
      <c r="F10" s="78">
        <v>13.8</v>
      </c>
      <c r="G10" s="78">
        <v>14</v>
      </c>
      <c r="H10" s="78">
        <v>13.9</v>
      </c>
      <c r="I10" s="78">
        <v>15.4</v>
      </c>
      <c r="J10" s="78">
        <v>16.2</v>
      </c>
      <c r="K10" s="78">
        <v>14.3</v>
      </c>
      <c r="L10" s="78">
        <v>14.2</v>
      </c>
      <c r="M10" s="78">
        <v>14.3</v>
      </c>
      <c r="N10" s="78">
        <v>14.3</v>
      </c>
    </row>
    <row r="11" spans="1:14">
      <c r="A11" t="s">
        <v>507</v>
      </c>
      <c r="B11" t="s">
        <v>297</v>
      </c>
      <c r="C11" s="78">
        <v>28.9</v>
      </c>
      <c r="D11" s="78">
        <v>29.5</v>
      </c>
      <c r="E11" s="78">
        <v>28.8</v>
      </c>
      <c r="F11" s="78">
        <v>28.4</v>
      </c>
      <c r="G11" s="78">
        <v>27.8</v>
      </c>
      <c r="H11" s="78">
        <v>27.2</v>
      </c>
      <c r="I11" s="78">
        <v>27</v>
      </c>
      <c r="J11" s="78">
        <v>28.8</v>
      </c>
      <c r="K11" s="78">
        <v>28.9</v>
      </c>
      <c r="L11" s="78">
        <v>26.3</v>
      </c>
      <c r="M11" s="78">
        <v>26.7</v>
      </c>
      <c r="N11" s="78">
        <v>24.8</v>
      </c>
    </row>
    <row r="12" spans="1:14">
      <c r="A12" t="s">
        <v>508</v>
      </c>
      <c r="B12" t="s">
        <v>297</v>
      </c>
      <c r="C12" s="78">
        <v>28.1</v>
      </c>
      <c r="D12" s="78">
        <v>26.8</v>
      </c>
      <c r="E12" s="78">
        <v>27.1</v>
      </c>
      <c r="F12" s="78">
        <v>26.7</v>
      </c>
      <c r="G12" s="78">
        <v>26.4</v>
      </c>
      <c r="H12" s="78">
        <v>25.3</v>
      </c>
      <c r="I12" s="78">
        <v>25.3</v>
      </c>
      <c r="J12" s="78">
        <v>28.7</v>
      </c>
      <c r="K12" s="78">
        <v>28.4</v>
      </c>
      <c r="L12" s="78">
        <v>25.6</v>
      </c>
      <c r="M12" s="78">
        <v>25.2</v>
      </c>
      <c r="N12" s="78">
        <v>24.2</v>
      </c>
    </row>
    <row r="13" spans="1:14">
      <c r="A13" t="s">
        <v>509</v>
      </c>
      <c r="B13" t="s">
        <v>297</v>
      </c>
      <c r="C13" s="78">
        <v>33.5</v>
      </c>
      <c r="D13" s="78">
        <v>35.6</v>
      </c>
      <c r="E13" s="78">
        <v>32.5</v>
      </c>
      <c r="F13" s="78">
        <v>33.6</v>
      </c>
      <c r="G13" s="78">
        <v>34.799999999999997</v>
      </c>
      <c r="H13" s="78">
        <v>31.7</v>
      </c>
      <c r="I13" s="78">
        <v>31.5</v>
      </c>
      <c r="J13" s="78">
        <v>29.7</v>
      </c>
      <c r="K13" s="78">
        <v>33.6</v>
      </c>
      <c r="L13" s="78">
        <v>30.6</v>
      </c>
      <c r="M13" s="78">
        <v>32.1</v>
      </c>
      <c r="N13" s="78">
        <v>33.299999999999997</v>
      </c>
    </row>
    <row r="14" spans="1:14">
      <c r="A14" t="s">
        <v>409</v>
      </c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>
      <c r="A15" t="s">
        <v>407</v>
      </c>
      <c r="B15" t="s">
        <v>297</v>
      </c>
      <c r="C15" s="78">
        <v>24.12</v>
      </c>
      <c r="D15" s="78">
        <v>25.81</v>
      </c>
      <c r="E15" s="78">
        <v>27.58</v>
      </c>
      <c r="F15" s="78">
        <v>28.97</v>
      </c>
      <c r="G15" s="78">
        <v>28.69</v>
      </c>
      <c r="H15" s="78">
        <v>26.5</v>
      </c>
      <c r="I15" s="78">
        <v>26.48</v>
      </c>
      <c r="J15" s="78">
        <v>26.84</v>
      </c>
      <c r="K15" s="78">
        <v>28.33</v>
      </c>
      <c r="L15" s="78">
        <v>27.76</v>
      </c>
      <c r="M15" s="78">
        <v>27.07</v>
      </c>
      <c r="N15" s="78">
        <v>27.6</v>
      </c>
    </row>
    <row r="16" spans="1:14">
      <c r="A16" t="s">
        <v>408</v>
      </c>
      <c r="B16" t="s">
        <v>287</v>
      </c>
      <c r="C16" s="78">
        <v>254.4</v>
      </c>
      <c r="D16" s="78">
        <v>240.25</v>
      </c>
      <c r="E16" s="78">
        <v>252.25</v>
      </c>
      <c r="F16" s="78">
        <v>265.25</v>
      </c>
      <c r="G16" s="78">
        <v>254.6</v>
      </c>
      <c r="H16" s="78">
        <v>251.5</v>
      </c>
      <c r="I16" s="78">
        <v>287</v>
      </c>
      <c r="J16" s="78">
        <v>297</v>
      </c>
      <c r="K16" s="78">
        <v>298.75</v>
      </c>
      <c r="L16" s="78">
        <v>278</v>
      </c>
      <c r="M16" s="78">
        <v>266.25</v>
      </c>
      <c r="N16" s="78">
        <v>290</v>
      </c>
    </row>
    <row r="17" spans="1:14">
      <c r="A17" t="s">
        <v>414</v>
      </c>
      <c r="B17" t="s">
        <v>293</v>
      </c>
      <c r="C17" s="78">
        <v>13.31</v>
      </c>
      <c r="D17" s="78">
        <v>13.8</v>
      </c>
      <c r="E17" s="78">
        <v>14.85</v>
      </c>
      <c r="F17" s="78">
        <v>15.38</v>
      </c>
      <c r="G17" s="78">
        <v>14.55</v>
      </c>
      <c r="H17" s="78">
        <v>13.83</v>
      </c>
      <c r="I17" s="78">
        <v>14.21</v>
      </c>
      <c r="J17" s="78">
        <v>14.08</v>
      </c>
      <c r="K17" s="78">
        <v>13.97</v>
      </c>
      <c r="L17" s="78">
        <v>14.57</v>
      </c>
      <c r="M17" s="78">
        <v>14.75</v>
      </c>
      <c r="N17" s="78">
        <v>14.73</v>
      </c>
    </row>
    <row r="18" spans="1:14">
      <c r="A18" t="s">
        <v>406</v>
      </c>
      <c r="B18" t="s">
        <v>293</v>
      </c>
      <c r="C18" s="78">
        <v>11.83</v>
      </c>
      <c r="D18" s="78">
        <v>12.41</v>
      </c>
      <c r="E18" s="78">
        <v>13.33</v>
      </c>
      <c r="F18" s="78">
        <v>14.23</v>
      </c>
      <c r="G18" s="78">
        <v>14.04</v>
      </c>
      <c r="H18" s="78">
        <v>14.15</v>
      </c>
      <c r="I18" s="78">
        <v>16.600000000000001</v>
      </c>
      <c r="J18" s="78">
        <v>17.09</v>
      </c>
      <c r="K18" s="78">
        <v>16.75</v>
      </c>
      <c r="L18" s="78">
        <v>15.27</v>
      </c>
      <c r="M18" s="78">
        <v>14.39</v>
      </c>
      <c r="N18" s="78">
        <v>14.5</v>
      </c>
    </row>
    <row r="19" spans="1:14">
      <c r="A19" t="s">
        <v>405</v>
      </c>
      <c r="B19" t="s">
        <v>293</v>
      </c>
      <c r="C19" s="78">
        <v>12.72</v>
      </c>
      <c r="D19" s="78">
        <v>13.3</v>
      </c>
      <c r="E19" s="78">
        <v>14.13</v>
      </c>
      <c r="F19" s="78">
        <v>15.03</v>
      </c>
      <c r="G19" s="78">
        <v>14.77</v>
      </c>
      <c r="H19" s="78">
        <v>14.86</v>
      </c>
      <c r="I19" s="78">
        <v>17.510000000000002</v>
      </c>
      <c r="J19" s="78">
        <v>17.73</v>
      </c>
      <c r="K19">
        <v>17.47</v>
      </c>
      <c r="L19">
        <v>16.170000000000002</v>
      </c>
      <c r="M19">
        <v>15.46</v>
      </c>
      <c r="N19">
        <v>15.68</v>
      </c>
    </row>
    <row r="20" spans="1:14">
      <c r="A20" t="s">
        <v>410</v>
      </c>
      <c r="B20" t="s">
        <v>297</v>
      </c>
      <c r="C20" s="78">
        <v>27.76</v>
      </c>
      <c r="D20" s="78">
        <v>25.9</v>
      </c>
      <c r="E20" s="78">
        <v>26.1</v>
      </c>
      <c r="F20" s="78">
        <v>26.96</v>
      </c>
      <c r="G20" s="78">
        <v>26.1</v>
      </c>
      <c r="H20" s="78">
        <v>24.2</v>
      </c>
      <c r="I20" s="78">
        <v>22.57</v>
      </c>
      <c r="J20" s="78">
        <v>25.99</v>
      </c>
      <c r="K20">
        <v>27.67</v>
      </c>
      <c r="L20">
        <v>25.31</v>
      </c>
      <c r="M20">
        <v>22.19</v>
      </c>
      <c r="N20">
        <v>21.91</v>
      </c>
    </row>
    <row r="21" spans="1:14">
      <c r="A21" t="s">
        <v>298</v>
      </c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A22" t="s">
        <v>299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>
      <c r="A23" t="s">
        <v>357</v>
      </c>
      <c r="B23" t="s">
        <v>295</v>
      </c>
      <c r="C23" s="78">
        <v>55.0625</v>
      </c>
      <c r="D23" s="78">
        <v>56.9375</v>
      </c>
      <c r="E23" s="78">
        <v>59.1</v>
      </c>
      <c r="F23" s="78">
        <v>60.9375</v>
      </c>
      <c r="G23" s="78">
        <v>55.875</v>
      </c>
      <c r="H23" s="78">
        <v>54.1</v>
      </c>
      <c r="I23" s="78">
        <v>57.4375</v>
      </c>
      <c r="J23" s="78">
        <v>58.75</v>
      </c>
      <c r="K23" s="78">
        <v>59.75</v>
      </c>
      <c r="L23" s="78">
        <v>57.5</v>
      </c>
      <c r="M23" s="78">
        <v>58.2</v>
      </c>
      <c r="N23" s="78">
        <v>57.125</v>
      </c>
    </row>
    <row r="24" spans="1:14">
      <c r="A24" t="s">
        <v>300</v>
      </c>
      <c r="B24" t="s">
        <v>301</v>
      </c>
      <c r="C24" s="78">
        <v>68.25</v>
      </c>
      <c r="D24" s="78">
        <v>68</v>
      </c>
      <c r="E24" s="78">
        <v>64.900000000000006</v>
      </c>
      <c r="F24" s="78">
        <v>63.625</v>
      </c>
      <c r="G24" s="78">
        <v>59.25</v>
      </c>
      <c r="H24" s="78">
        <v>54</v>
      </c>
      <c r="I24" s="78">
        <v>52.75</v>
      </c>
      <c r="J24" s="78">
        <v>50.3</v>
      </c>
      <c r="K24" s="78">
        <v>47.75</v>
      </c>
      <c r="L24" s="78">
        <v>43.75</v>
      </c>
      <c r="M24" s="78">
        <v>41.4</v>
      </c>
      <c r="N24" s="78">
        <v>38.875</v>
      </c>
    </row>
    <row r="25" spans="1:14">
      <c r="A25" t="s">
        <v>302</v>
      </c>
      <c r="B25" t="s">
        <v>301</v>
      </c>
      <c r="C25" s="78">
        <v>54</v>
      </c>
      <c r="D25" s="78">
        <v>56.3</v>
      </c>
      <c r="E25" s="78">
        <v>59.31</v>
      </c>
      <c r="F25" s="78">
        <v>60.75</v>
      </c>
      <c r="G25" s="78">
        <v>58.05</v>
      </c>
      <c r="H25" s="78">
        <v>52.9</v>
      </c>
      <c r="I25" s="78">
        <v>54.76</v>
      </c>
      <c r="J25" s="78">
        <v>57.26</v>
      </c>
      <c r="K25" s="78">
        <v>58.21</v>
      </c>
      <c r="L25">
        <v>54.75</v>
      </c>
      <c r="M25">
        <v>51.93</v>
      </c>
      <c r="N25">
        <v>50.63</v>
      </c>
    </row>
    <row r="26" spans="1:14">
      <c r="A26" t="s">
        <v>460</v>
      </c>
      <c r="B26" t="s">
        <v>301</v>
      </c>
      <c r="C26" s="57" t="s">
        <v>315</v>
      </c>
      <c r="D26" s="78">
        <v>42.88</v>
      </c>
      <c r="E26" s="78">
        <v>44.94</v>
      </c>
      <c r="F26" s="78">
        <v>42.33</v>
      </c>
      <c r="G26" s="78">
        <v>42.25</v>
      </c>
      <c r="H26" s="78">
        <v>38.520000000000003</v>
      </c>
      <c r="I26" s="78">
        <v>37.21</v>
      </c>
      <c r="J26" s="78">
        <v>37</v>
      </c>
      <c r="K26" s="78">
        <v>39.869999999999997</v>
      </c>
      <c r="L26" s="78">
        <v>37.39</v>
      </c>
      <c r="M26" s="78">
        <v>31.15</v>
      </c>
      <c r="N26" s="78">
        <v>35.049999999999997</v>
      </c>
    </row>
    <row r="27" spans="1:14">
      <c r="A27" t="s">
        <v>303</v>
      </c>
      <c r="B27" t="s">
        <v>301</v>
      </c>
      <c r="C27" s="78">
        <v>52.1875</v>
      </c>
      <c r="D27" s="78">
        <v>54.5625</v>
      </c>
      <c r="E27" s="78">
        <v>55.95</v>
      </c>
      <c r="F27" s="78">
        <v>56.875</v>
      </c>
      <c r="G27" s="78">
        <v>52</v>
      </c>
      <c r="H27" s="78">
        <v>50.05</v>
      </c>
      <c r="I27" s="78">
        <v>53.75</v>
      </c>
      <c r="J27" s="78">
        <v>54.65</v>
      </c>
      <c r="K27" s="78">
        <v>55.5</v>
      </c>
      <c r="L27" s="78">
        <v>51.3125</v>
      </c>
      <c r="M27" s="78">
        <v>49.05</v>
      </c>
      <c r="N27" s="78">
        <v>50.0625</v>
      </c>
    </row>
    <row r="28" spans="1:14">
      <c r="A28" t="s">
        <v>361</v>
      </c>
      <c r="B28" t="s">
        <v>301</v>
      </c>
      <c r="C28" s="57" t="s">
        <v>315</v>
      </c>
      <c r="D28" s="78">
        <v>52.55</v>
      </c>
      <c r="E28" s="78">
        <v>54.6</v>
      </c>
      <c r="F28" s="78">
        <v>52.59</v>
      </c>
      <c r="G28" s="78">
        <v>54.82</v>
      </c>
      <c r="H28" s="78">
        <v>54.83</v>
      </c>
      <c r="I28" s="78">
        <v>53</v>
      </c>
      <c r="J28" s="57" t="s">
        <v>315</v>
      </c>
      <c r="K28" s="57" t="s">
        <v>315</v>
      </c>
      <c r="L28" s="78">
        <v>51.6</v>
      </c>
      <c r="M28" s="78">
        <v>57</v>
      </c>
      <c r="N28" s="57" t="s">
        <v>315</v>
      </c>
    </row>
    <row r="29" spans="1:14">
      <c r="A29" t="s">
        <v>304</v>
      </c>
      <c r="B29" t="s">
        <v>301</v>
      </c>
      <c r="C29" s="78">
        <v>50.25</v>
      </c>
      <c r="D29" s="78">
        <v>50.1875</v>
      </c>
      <c r="E29" s="78">
        <v>52.6</v>
      </c>
      <c r="F29" s="78">
        <v>56.5625</v>
      </c>
      <c r="G29" s="78">
        <v>52.9375</v>
      </c>
      <c r="H29" s="78">
        <v>48.2</v>
      </c>
      <c r="I29" s="78">
        <v>50.0625</v>
      </c>
      <c r="J29" s="78">
        <v>47.75</v>
      </c>
      <c r="K29" s="78">
        <v>46.625</v>
      </c>
      <c r="L29" s="78">
        <v>41.4375</v>
      </c>
      <c r="M29" s="78">
        <v>41.25</v>
      </c>
      <c r="N29" s="78">
        <v>39.6875</v>
      </c>
    </row>
    <row r="30" spans="1:14">
      <c r="A30" t="s">
        <v>423</v>
      </c>
      <c r="B30" t="s">
        <v>301</v>
      </c>
      <c r="C30" s="78">
        <v>52.6875</v>
      </c>
      <c r="D30" s="78">
        <v>51.5625</v>
      </c>
      <c r="E30" s="78">
        <v>54.8</v>
      </c>
      <c r="F30" s="78">
        <v>57.25</v>
      </c>
      <c r="G30" s="78">
        <v>53.875</v>
      </c>
      <c r="H30" s="78">
        <v>49.8</v>
      </c>
      <c r="I30" s="78">
        <v>52.6875</v>
      </c>
      <c r="J30" s="78">
        <v>49.9</v>
      </c>
      <c r="K30" s="78">
        <v>48.5</v>
      </c>
      <c r="L30" s="78">
        <v>45.5</v>
      </c>
      <c r="M30" s="78">
        <v>44.45</v>
      </c>
      <c r="N30" s="78">
        <v>43.125</v>
      </c>
    </row>
    <row r="31" spans="1:14">
      <c r="A31" t="s">
        <v>305</v>
      </c>
      <c r="B31" t="s">
        <v>301</v>
      </c>
      <c r="C31" s="78">
        <v>95.8125</v>
      </c>
      <c r="D31" s="78">
        <v>95</v>
      </c>
      <c r="E31" s="78">
        <v>96.6</v>
      </c>
      <c r="F31" s="78">
        <v>102.375</v>
      </c>
      <c r="G31" s="78">
        <v>106.125</v>
      </c>
      <c r="H31" s="78">
        <v>111</v>
      </c>
      <c r="I31" s="78">
        <v>110</v>
      </c>
      <c r="J31" s="78">
        <v>110</v>
      </c>
      <c r="K31" s="78">
        <v>104.5</v>
      </c>
      <c r="L31" s="78">
        <v>103</v>
      </c>
      <c r="M31" s="78">
        <v>99.9</v>
      </c>
      <c r="N31" s="78">
        <v>98.5625</v>
      </c>
    </row>
    <row r="32" spans="1:14">
      <c r="A32" t="s">
        <v>306</v>
      </c>
      <c r="B32" t="s">
        <v>301</v>
      </c>
      <c r="C32">
        <v>50.99</v>
      </c>
      <c r="D32">
        <v>52.36</v>
      </c>
      <c r="E32">
        <v>53.43</v>
      </c>
      <c r="F32">
        <v>54.96</v>
      </c>
      <c r="G32">
        <v>50.69</v>
      </c>
      <c r="H32">
        <v>48.65</v>
      </c>
      <c r="I32">
        <v>51.96</v>
      </c>
      <c r="J32">
        <v>52.65</v>
      </c>
      <c r="K32">
        <v>53.81</v>
      </c>
      <c r="L32">
        <v>49.31</v>
      </c>
      <c r="M32">
        <v>46.27</v>
      </c>
      <c r="N32">
        <v>47.16</v>
      </c>
    </row>
    <row r="33" spans="1:15">
      <c r="A33" t="s">
        <v>307</v>
      </c>
      <c r="B33" t="s">
        <v>301</v>
      </c>
      <c r="C33" s="78">
        <v>88.75</v>
      </c>
      <c r="D33" s="78">
        <v>86</v>
      </c>
      <c r="E33" s="78">
        <v>82</v>
      </c>
      <c r="F33" s="78">
        <v>79</v>
      </c>
      <c r="G33" s="78">
        <v>80</v>
      </c>
      <c r="H33" s="78">
        <v>80.2</v>
      </c>
      <c r="I33" s="78">
        <v>78</v>
      </c>
      <c r="J33" s="78">
        <v>75</v>
      </c>
      <c r="K33" s="78">
        <v>75</v>
      </c>
      <c r="L33" s="78">
        <v>74</v>
      </c>
      <c r="M33" s="78">
        <v>70.3</v>
      </c>
      <c r="N33" s="78">
        <v>67.5</v>
      </c>
    </row>
    <row r="34" spans="1:15">
      <c r="A34" t="s">
        <v>359</v>
      </c>
      <c r="B34" t="s">
        <v>301</v>
      </c>
      <c r="C34" s="78">
        <v>51.1</v>
      </c>
      <c r="D34" s="78">
        <v>53.17</v>
      </c>
      <c r="E34" s="78">
        <v>52.24</v>
      </c>
      <c r="F34" s="78">
        <v>49</v>
      </c>
      <c r="G34" s="78">
        <v>55.48</v>
      </c>
      <c r="H34" s="78">
        <v>49.88</v>
      </c>
      <c r="I34" s="78">
        <v>49.13</v>
      </c>
      <c r="J34" s="78">
        <v>48.36</v>
      </c>
      <c r="K34" s="78">
        <v>47.19</v>
      </c>
      <c r="L34" s="78">
        <v>42.27</v>
      </c>
      <c r="M34" s="78">
        <v>37.15</v>
      </c>
      <c r="N34" s="78">
        <v>40.92</v>
      </c>
      <c r="O34" s="140"/>
    </row>
    <row r="35" spans="1:15">
      <c r="A35" s="107" t="s">
        <v>422</v>
      </c>
      <c r="B35" t="s">
        <v>301</v>
      </c>
      <c r="C35" s="78">
        <v>35.5</v>
      </c>
      <c r="D35" s="78">
        <v>40.630000000000003</v>
      </c>
      <c r="E35" s="78">
        <v>43.44</v>
      </c>
      <c r="F35" s="78">
        <v>42.94</v>
      </c>
      <c r="G35" s="78">
        <v>43.45</v>
      </c>
      <c r="H35" s="78">
        <v>40.409999999999997</v>
      </c>
      <c r="I35" s="78">
        <v>37.630000000000003</v>
      </c>
      <c r="J35" s="78">
        <v>38.340000000000003</v>
      </c>
      <c r="K35" s="78">
        <v>39.880000000000003</v>
      </c>
      <c r="L35" s="78">
        <v>37.200000000000003</v>
      </c>
      <c r="M35" s="78">
        <v>32.19</v>
      </c>
      <c r="N35" s="78">
        <v>34.29</v>
      </c>
    </row>
    <row r="36" spans="1:15">
      <c r="A36" s="107" t="s">
        <v>418</v>
      </c>
      <c r="B36" s="107" t="s">
        <v>419</v>
      </c>
      <c r="C36" s="78">
        <v>4.6887499999999998</v>
      </c>
      <c r="D36" s="78">
        <v>4.6712499999999997</v>
      </c>
      <c r="E36" s="78">
        <v>4.75</v>
      </c>
      <c r="F36" s="78">
        <v>4.7987500000000001</v>
      </c>
      <c r="G36" s="78">
        <v>4.6187500000000004</v>
      </c>
      <c r="H36" s="78">
        <v>4.3819999999999997</v>
      </c>
      <c r="I36" s="78">
        <v>4.4050000000000002</v>
      </c>
      <c r="J36" s="78">
        <v>4.4819999999999993</v>
      </c>
      <c r="K36" s="78">
        <v>4.5062499999999996</v>
      </c>
      <c r="L36" s="78">
        <v>4.1649999999999991</v>
      </c>
      <c r="M36" s="78">
        <v>3.9910000000000005</v>
      </c>
      <c r="N36" s="78">
        <v>4.0037500000000001</v>
      </c>
    </row>
    <row r="37" spans="1:15">
      <c r="A37" t="s">
        <v>308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5">
      <c r="A38" t="s">
        <v>358</v>
      </c>
      <c r="B38" t="s">
        <v>287</v>
      </c>
      <c r="C38">
        <v>253.98</v>
      </c>
      <c r="D38">
        <v>257.63</v>
      </c>
      <c r="E38">
        <v>277.83</v>
      </c>
      <c r="F38">
        <v>313.38</v>
      </c>
      <c r="G38">
        <v>333.69</v>
      </c>
      <c r="H38">
        <v>335.26</v>
      </c>
      <c r="I38">
        <v>378.86</v>
      </c>
      <c r="J38">
        <v>388.13</v>
      </c>
      <c r="K38">
        <v>370.79</v>
      </c>
      <c r="L38">
        <v>354.49</v>
      </c>
      <c r="M38">
        <v>334.46</v>
      </c>
      <c r="N38">
        <v>349.55</v>
      </c>
    </row>
    <row r="39" spans="1:15">
      <c r="A39" t="s">
        <v>309</v>
      </c>
      <c r="B39" t="s">
        <v>301</v>
      </c>
      <c r="C39" s="78">
        <v>213</v>
      </c>
      <c r="D39" s="78">
        <v>190</v>
      </c>
      <c r="E39" s="78">
        <v>225</v>
      </c>
      <c r="F39" s="78">
        <v>240.63</v>
      </c>
      <c r="G39" s="78">
        <v>270</v>
      </c>
      <c r="H39" s="78">
        <v>294.38</v>
      </c>
      <c r="I39" s="78">
        <v>350.5</v>
      </c>
      <c r="J39" s="78">
        <v>407.5</v>
      </c>
      <c r="K39" s="78">
        <v>393.75</v>
      </c>
      <c r="L39" s="78">
        <v>343</v>
      </c>
      <c r="M39" s="78">
        <v>376.88</v>
      </c>
      <c r="N39" s="78">
        <v>345</v>
      </c>
    </row>
    <row r="40" spans="1:15">
      <c r="A40" t="s">
        <v>338</v>
      </c>
      <c r="B40" t="s">
        <v>301</v>
      </c>
      <c r="C40" s="78">
        <v>209</v>
      </c>
      <c r="D40" s="78">
        <v>193.75</v>
      </c>
      <c r="E40" s="78">
        <v>216.25</v>
      </c>
      <c r="F40" s="78">
        <v>256.25</v>
      </c>
      <c r="G40" s="78">
        <v>279</v>
      </c>
      <c r="H40" s="78">
        <v>287.5</v>
      </c>
      <c r="I40" s="78">
        <v>343</v>
      </c>
      <c r="J40" s="78">
        <v>358.75</v>
      </c>
      <c r="K40" s="78">
        <v>340.63</v>
      </c>
      <c r="L40" s="78">
        <v>334</v>
      </c>
      <c r="M40" s="78">
        <v>297.5</v>
      </c>
      <c r="N40" s="78">
        <v>335.83</v>
      </c>
    </row>
    <row r="41" spans="1:15">
      <c r="A41" t="s">
        <v>339</v>
      </c>
      <c r="B41" t="s">
        <v>301</v>
      </c>
      <c r="C41">
        <v>310.64999999999998</v>
      </c>
      <c r="D41">
        <v>330.37</v>
      </c>
      <c r="E41">
        <v>365.95</v>
      </c>
      <c r="F41">
        <v>394.29</v>
      </c>
      <c r="G41">
        <v>415.17</v>
      </c>
      <c r="H41">
        <v>422.59</v>
      </c>
      <c r="I41">
        <v>515.82000000000005</v>
      </c>
      <c r="J41">
        <v>564.69000000000005</v>
      </c>
      <c r="K41">
        <v>529.37</v>
      </c>
      <c r="L41">
        <v>488.46</v>
      </c>
      <c r="M41">
        <v>465.64</v>
      </c>
      <c r="N41">
        <v>459.4</v>
      </c>
    </row>
    <row r="42" spans="1:15">
      <c r="A42" t="s">
        <v>416</v>
      </c>
      <c r="B42" t="s">
        <v>301</v>
      </c>
      <c r="C42" s="78">
        <v>223.5</v>
      </c>
      <c r="D42" s="78">
        <v>191.88</v>
      </c>
      <c r="E42" s="78">
        <v>191.88</v>
      </c>
      <c r="F42" s="78">
        <v>211.25</v>
      </c>
      <c r="G42" s="78">
        <v>230.5</v>
      </c>
      <c r="H42" s="78">
        <v>226.88</v>
      </c>
      <c r="I42" s="78">
        <v>300.5</v>
      </c>
      <c r="J42" s="78">
        <v>348.13</v>
      </c>
      <c r="K42" s="78">
        <v>354.38</v>
      </c>
      <c r="L42" s="78">
        <v>287</v>
      </c>
      <c r="M42" s="78">
        <v>269.38</v>
      </c>
      <c r="N42" s="78">
        <v>266.67</v>
      </c>
    </row>
    <row r="43" spans="1:15">
      <c r="A43" t="s">
        <v>415</v>
      </c>
      <c r="B43" t="s">
        <v>310</v>
      </c>
      <c r="C43"/>
      <c r="D43"/>
      <c r="E43"/>
      <c r="F43"/>
      <c r="G43"/>
      <c r="H43"/>
      <c r="I43"/>
      <c r="J43"/>
      <c r="K43"/>
      <c r="L43"/>
      <c r="M43"/>
      <c r="N43"/>
    </row>
    <row r="44" spans="1:15">
      <c r="A44" t="s">
        <v>311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5">
      <c r="A45" t="s">
        <v>312</v>
      </c>
      <c r="B45" t="s">
        <v>301</v>
      </c>
      <c r="C45" s="60">
        <v>302.60000000000002</v>
      </c>
      <c r="D45" s="60">
        <v>298.39999999999998</v>
      </c>
      <c r="E45" s="60">
        <v>328.1</v>
      </c>
      <c r="F45" s="60">
        <v>327.60000000000002</v>
      </c>
      <c r="G45" s="60">
        <v>319.60000000000002</v>
      </c>
      <c r="H45" s="60">
        <v>328.2</v>
      </c>
      <c r="I45" s="60">
        <v>330.8</v>
      </c>
      <c r="J45" s="60">
        <v>326.89999999999998</v>
      </c>
      <c r="K45" s="60">
        <v>321.8</v>
      </c>
      <c r="L45" s="60">
        <v>341</v>
      </c>
      <c r="M45" s="60">
        <v>314.39999999999998</v>
      </c>
      <c r="N45" s="60">
        <v>347.1</v>
      </c>
    </row>
    <row r="46" spans="1:15">
      <c r="A46" t="s">
        <v>313</v>
      </c>
      <c r="B46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5">
      <c r="A47" t="s">
        <v>389</v>
      </c>
      <c r="B47" t="s">
        <v>301</v>
      </c>
      <c r="C47" s="60">
        <v>316.3</v>
      </c>
      <c r="D47" s="60">
        <v>319.89999999999998</v>
      </c>
      <c r="E47" s="60">
        <v>320.7</v>
      </c>
      <c r="F47" s="60">
        <v>316.8</v>
      </c>
      <c r="G47" s="60">
        <v>327.10000000000002</v>
      </c>
      <c r="H47" s="60">
        <v>325.7</v>
      </c>
      <c r="I47" s="60">
        <v>329.5</v>
      </c>
      <c r="J47" s="60">
        <v>325.5</v>
      </c>
      <c r="K47" s="60">
        <v>322.8</v>
      </c>
      <c r="L47" s="60">
        <v>327.5</v>
      </c>
      <c r="M47" s="60">
        <v>326.2</v>
      </c>
      <c r="N47" s="60">
        <v>321.7</v>
      </c>
      <c r="O47" s="141"/>
    </row>
    <row r="48" spans="1:15">
      <c r="A48" t="s">
        <v>450</v>
      </c>
      <c r="B48" t="s">
        <v>301</v>
      </c>
      <c r="C48" s="60">
        <v>297.10000000000002</v>
      </c>
      <c r="D48" s="60">
        <v>295.2</v>
      </c>
      <c r="E48" s="60">
        <v>296.10000000000002</v>
      </c>
      <c r="F48" s="60">
        <v>299.39999999999998</v>
      </c>
      <c r="G48" s="60">
        <v>298.39999999999998</v>
      </c>
      <c r="H48" s="60">
        <v>295.89999999999998</v>
      </c>
      <c r="I48" s="60">
        <v>296.5</v>
      </c>
      <c r="J48" s="60">
        <v>291.39999999999998</v>
      </c>
      <c r="K48" s="60">
        <v>294.60000000000002</v>
      </c>
      <c r="L48" s="60">
        <v>292</v>
      </c>
      <c r="M48" s="60">
        <v>289.39999999999998</v>
      </c>
      <c r="N48" s="60">
        <v>285</v>
      </c>
      <c r="O48" s="141"/>
    </row>
    <row r="49" spans="1:14" customFormat="1">
      <c r="A49" t="s">
        <v>388</v>
      </c>
      <c r="B49" t="s">
        <v>301</v>
      </c>
      <c r="C49" s="60">
        <v>328.5</v>
      </c>
      <c r="D49" s="60">
        <v>338.7</v>
      </c>
      <c r="E49" s="60">
        <v>350</v>
      </c>
      <c r="F49" s="60">
        <v>354.4</v>
      </c>
      <c r="G49" s="60">
        <v>346.3</v>
      </c>
      <c r="H49" s="60">
        <v>334.8</v>
      </c>
      <c r="I49" s="60">
        <v>345.2</v>
      </c>
      <c r="J49" s="60">
        <v>343.4</v>
      </c>
      <c r="K49" s="60">
        <v>351.5</v>
      </c>
      <c r="L49" s="60">
        <v>331.7</v>
      </c>
      <c r="M49" s="60">
        <v>306.10000000000002</v>
      </c>
      <c r="N49" s="60">
        <v>311.89999999999998</v>
      </c>
    </row>
    <row r="50" spans="1:14">
      <c r="A50" s="1" t="s">
        <v>436</v>
      </c>
      <c r="B50" s="1" t="s">
        <v>437</v>
      </c>
      <c r="C50" s="130">
        <v>155.6</v>
      </c>
      <c r="D50" s="130">
        <v>187</v>
      </c>
      <c r="E50" s="130">
        <v>188.3</v>
      </c>
      <c r="F50" s="130">
        <v>189</v>
      </c>
      <c r="G50" s="130">
        <v>189</v>
      </c>
      <c r="H50" s="130">
        <v>189</v>
      </c>
      <c r="I50" s="130">
        <v>187.1</v>
      </c>
      <c r="J50" s="130">
        <v>187.1</v>
      </c>
      <c r="K50" s="130">
        <v>187.1</v>
      </c>
      <c r="L50" s="130">
        <v>187.1</v>
      </c>
      <c r="M50" s="130">
        <v>186.9</v>
      </c>
      <c r="N50" s="130">
        <v>181.9</v>
      </c>
    </row>
    <row r="51" spans="1:14">
      <c r="A51" s="107" t="s">
        <v>435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0.199999999999999" customHeight="1">
      <c r="A52" s="107" t="s">
        <v>537</v>
      </c>
      <c r="B52"/>
      <c r="C52"/>
      <c r="D52"/>
      <c r="E52"/>
      <c r="F52"/>
      <c r="G52"/>
      <c r="H52"/>
      <c r="I52"/>
      <c r="J52"/>
      <c r="L52"/>
      <c r="M52" s="145"/>
      <c r="N52" s="145"/>
    </row>
    <row r="53" spans="1:14">
      <c r="A53" s="107" t="s">
        <v>538</v>
      </c>
      <c r="B53"/>
      <c r="C53"/>
      <c r="D53"/>
      <c r="E53"/>
      <c r="F53"/>
      <c r="G53"/>
      <c r="H53"/>
      <c r="I53"/>
      <c r="J53"/>
      <c r="K53"/>
      <c r="M53"/>
      <c r="N53" s="278" t="s">
        <v>679</v>
      </c>
    </row>
  </sheetData>
  <pageMargins left="0.7" right="0.7" top="0.75" bottom="0.75" header="0.3" footer="0.3"/>
  <pageSetup scale="87" orientation="landscape" r:id="rId1"/>
  <headerFooter alignWithMargins="0">
    <oddFooter>&amp;C&amp;P
Oil Crops Yearbook/OCS-2018
March 2018
Economic Research Service, USDA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53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50.7109375" customWidth="1"/>
    <col min="2" max="2" width="9.7109375" customWidth="1"/>
    <col min="3" max="14" width="9.85546875" customWidth="1"/>
  </cols>
  <sheetData>
    <row r="1" spans="1:14">
      <c r="A1" s="1" t="s">
        <v>650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C2" s="279"/>
      <c r="D2" s="279"/>
      <c r="E2" s="279"/>
      <c r="F2" s="279"/>
      <c r="G2" s="279"/>
      <c r="H2" s="297">
        <v>2013</v>
      </c>
      <c r="I2" s="279"/>
      <c r="J2" s="279"/>
      <c r="K2" s="279"/>
      <c r="L2" s="279"/>
      <c r="M2" s="279"/>
      <c r="N2" s="279"/>
    </row>
    <row r="3" spans="1:14">
      <c r="A3" s="1" t="s">
        <v>288</v>
      </c>
      <c r="B3" s="9" t="s">
        <v>314</v>
      </c>
      <c r="C3" s="184" t="s">
        <v>155</v>
      </c>
      <c r="D3" s="184" t="s">
        <v>156</v>
      </c>
      <c r="E3" s="184" t="s">
        <v>157</v>
      </c>
      <c r="F3" s="184" t="s">
        <v>158</v>
      </c>
      <c r="G3" s="184" t="s">
        <v>148</v>
      </c>
      <c r="H3" s="184" t="s">
        <v>149</v>
      </c>
      <c r="I3" s="184" t="s">
        <v>150</v>
      </c>
      <c r="J3" s="184" t="s">
        <v>159</v>
      </c>
      <c r="K3" s="184" t="s">
        <v>160</v>
      </c>
      <c r="L3" s="184" t="s">
        <v>152</v>
      </c>
      <c r="M3" s="184" t="s">
        <v>153</v>
      </c>
      <c r="N3" s="184" t="s">
        <v>154</v>
      </c>
    </row>
    <row r="4" spans="1:14">
      <c r="A4" t="s">
        <v>289</v>
      </c>
    </row>
    <row r="5" spans="1:14">
      <c r="A5" t="s">
        <v>290</v>
      </c>
    </row>
    <row r="6" spans="1:14">
      <c r="A6" t="s">
        <v>402</v>
      </c>
      <c r="B6" t="s">
        <v>297</v>
      </c>
      <c r="C6" s="78">
        <v>26.8</v>
      </c>
      <c r="D6" s="78">
        <v>27.8</v>
      </c>
      <c r="E6" s="78">
        <v>27.3</v>
      </c>
      <c r="F6" s="78">
        <v>27.5</v>
      </c>
      <c r="G6" s="78">
        <v>28</v>
      </c>
      <c r="H6" s="78">
        <v>27.4</v>
      </c>
      <c r="I6" s="78">
        <v>26.3</v>
      </c>
      <c r="J6" s="78">
        <v>22.2</v>
      </c>
      <c r="K6" s="78">
        <v>20.7</v>
      </c>
      <c r="L6" s="78">
        <v>20.7</v>
      </c>
      <c r="M6" s="78">
        <v>20.3</v>
      </c>
      <c r="N6" s="78">
        <v>20.7</v>
      </c>
    </row>
    <row r="7" spans="1:14">
      <c r="A7" t="s">
        <v>291</v>
      </c>
      <c r="B7" t="s">
        <v>287</v>
      </c>
      <c r="C7" s="78">
        <v>249</v>
      </c>
      <c r="D7" s="78">
        <v>217</v>
      </c>
      <c r="E7" s="57" t="s">
        <v>315</v>
      </c>
      <c r="F7" s="57" t="s">
        <v>315</v>
      </c>
      <c r="G7" s="57" t="s">
        <v>315</v>
      </c>
      <c r="H7" s="57" t="s">
        <v>315</v>
      </c>
      <c r="I7" s="57" t="s">
        <v>315</v>
      </c>
      <c r="J7" s="57" t="s">
        <v>315</v>
      </c>
      <c r="K7" s="78">
        <v>186</v>
      </c>
      <c r="L7" s="78">
        <v>283</v>
      </c>
      <c r="M7" s="78">
        <v>248</v>
      </c>
      <c r="N7" s="78">
        <v>246</v>
      </c>
    </row>
    <row r="8" spans="1:14">
      <c r="A8" t="s">
        <v>292</v>
      </c>
      <c r="B8" t="s">
        <v>293</v>
      </c>
      <c r="C8" s="78">
        <v>13.7</v>
      </c>
      <c r="D8" s="78">
        <v>14.3</v>
      </c>
      <c r="E8" s="78">
        <v>14.4</v>
      </c>
      <c r="F8" s="78">
        <v>14.9</v>
      </c>
      <c r="G8" s="78">
        <v>15.4</v>
      </c>
      <c r="H8" s="78">
        <v>15.2</v>
      </c>
      <c r="I8" s="78">
        <v>15.1</v>
      </c>
      <c r="J8" s="78">
        <v>14.9</v>
      </c>
      <c r="K8" s="78">
        <v>13.1</v>
      </c>
      <c r="L8" s="78">
        <v>13.5</v>
      </c>
      <c r="M8" s="78">
        <v>13.4</v>
      </c>
      <c r="N8" s="78">
        <v>13.5</v>
      </c>
    </row>
    <row r="9" spans="1:14">
      <c r="A9" t="s">
        <v>294</v>
      </c>
      <c r="B9" t="s">
        <v>295</v>
      </c>
      <c r="C9" s="78">
        <v>31.2</v>
      </c>
      <c r="D9" s="78">
        <v>28.199999999999996</v>
      </c>
      <c r="E9" s="78">
        <v>27.700000000000003</v>
      </c>
      <c r="F9" s="78">
        <v>26.700000000000003</v>
      </c>
      <c r="G9" s="78">
        <v>27.200000000000003</v>
      </c>
      <c r="H9" s="78">
        <v>27</v>
      </c>
      <c r="I9" s="78">
        <v>24.7</v>
      </c>
      <c r="J9" s="78">
        <v>25.1</v>
      </c>
      <c r="K9" s="78">
        <v>25.3</v>
      </c>
      <c r="L9" s="78">
        <v>26</v>
      </c>
      <c r="M9" s="78">
        <v>26.6</v>
      </c>
      <c r="N9" s="78">
        <v>24.6</v>
      </c>
    </row>
    <row r="10" spans="1:14">
      <c r="A10" t="s">
        <v>296</v>
      </c>
      <c r="B10" t="s">
        <v>293</v>
      </c>
      <c r="C10" s="78">
        <v>14.3</v>
      </c>
      <c r="D10" s="78">
        <v>14.6</v>
      </c>
      <c r="E10" s="78">
        <v>14.6</v>
      </c>
      <c r="F10" s="78">
        <v>14.4</v>
      </c>
      <c r="G10" s="78">
        <v>14.9</v>
      </c>
      <c r="H10" s="78">
        <v>15.1</v>
      </c>
      <c r="I10" s="78">
        <v>15.3</v>
      </c>
      <c r="J10" s="78">
        <v>14.1</v>
      </c>
      <c r="K10" s="78">
        <v>13.3</v>
      </c>
      <c r="L10" s="78">
        <v>12.5</v>
      </c>
      <c r="M10" s="78">
        <v>12.7</v>
      </c>
      <c r="N10" s="78">
        <v>13</v>
      </c>
    </row>
    <row r="11" spans="1:14">
      <c r="A11" t="s">
        <v>507</v>
      </c>
      <c r="B11" t="s">
        <v>297</v>
      </c>
      <c r="C11" s="78">
        <v>26.3</v>
      </c>
      <c r="D11" s="78">
        <v>26.1</v>
      </c>
      <c r="E11" s="78">
        <v>24.6</v>
      </c>
      <c r="F11" s="78">
        <v>24.8</v>
      </c>
      <c r="G11" s="78">
        <v>24</v>
      </c>
      <c r="H11" s="78">
        <v>24.4</v>
      </c>
      <c r="I11" s="78">
        <v>23.7</v>
      </c>
      <c r="J11" s="78">
        <v>23.7</v>
      </c>
      <c r="K11" s="78">
        <v>22.4</v>
      </c>
      <c r="L11" s="78">
        <v>22.8</v>
      </c>
      <c r="M11" s="78">
        <v>20.7</v>
      </c>
      <c r="N11" s="78">
        <v>18.8</v>
      </c>
    </row>
    <row r="12" spans="1:14">
      <c r="A12" t="s">
        <v>508</v>
      </c>
      <c r="B12" t="s">
        <v>297</v>
      </c>
      <c r="C12" s="78">
        <v>25.6</v>
      </c>
      <c r="D12" s="78">
        <v>24.7</v>
      </c>
      <c r="E12" s="78">
        <v>23.7</v>
      </c>
      <c r="F12" s="78">
        <v>23.2</v>
      </c>
      <c r="G12" s="78">
        <v>23.2</v>
      </c>
      <c r="H12" s="78">
        <v>23.2</v>
      </c>
      <c r="I12" s="78">
        <v>22.6</v>
      </c>
      <c r="J12" s="78">
        <v>22.1</v>
      </c>
      <c r="K12" s="78">
        <v>20.2</v>
      </c>
      <c r="L12" s="78">
        <v>18.7</v>
      </c>
      <c r="M12" s="78">
        <v>18.5</v>
      </c>
      <c r="N12" s="78">
        <v>18.2</v>
      </c>
    </row>
    <row r="13" spans="1:14">
      <c r="A13" t="s">
        <v>509</v>
      </c>
      <c r="B13" t="s">
        <v>297</v>
      </c>
      <c r="C13" s="78">
        <v>28.5</v>
      </c>
      <c r="D13" s="78">
        <v>29.4</v>
      </c>
      <c r="E13" s="78">
        <v>29</v>
      </c>
      <c r="F13" s="78">
        <v>28.6</v>
      </c>
      <c r="G13" s="78">
        <v>27</v>
      </c>
      <c r="H13" s="78">
        <v>31.3</v>
      </c>
      <c r="I13" s="78">
        <v>27.3</v>
      </c>
      <c r="J13" s="78">
        <v>26.9</v>
      </c>
      <c r="K13" s="78">
        <v>30.3</v>
      </c>
      <c r="L13" s="78">
        <v>30.9</v>
      </c>
      <c r="M13" s="78">
        <v>30</v>
      </c>
      <c r="N13" s="78">
        <v>31.8</v>
      </c>
    </row>
    <row r="14" spans="1:14">
      <c r="A14" t="s">
        <v>409</v>
      </c>
    </row>
    <row r="15" spans="1:14">
      <c r="A15" t="s">
        <v>407</v>
      </c>
      <c r="B15" t="s">
        <v>297</v>
      </c>
      <c r="C15" s="78">
        <v>27.96</v>
      </c>
      <c r="D15" s="78">
        <v>28.43</v>
      </c>
      <c r="E15" s="78">
        <v>27.68</v>
      </c>
      <c r="F15" s="78">
        <v>27.62</v>
      </c>
      <c r="G15" s="78">
        <v>27.69</v>
      </c>
      <c r="H15" s="78">
        <v>27.18</v>
      </c>
      <c r="I15" s="78">
        <v>24.62</v>
      </c>
      <c r="J15" s="78">
        <v>22.18</v>
      </c>
      <c r="K15" s="78">
        <v>20.69</v>
      </c>
      <c r="L15" s="78">
        <v>20.6</v>
      </c>
      <c r="M15" s="78">
        <v>20.59</v>
      </c>
      <c r="N15" s="78">
        <v>18.75</v>
      </c>
    </row>
    <row r="16" spans="1:14">
      <c r="A16" t="s">
        <v>408</v>
      </c>
      <c r="B16" t="s">
        <v>287</v>
      </c>
      <c r="C16" s="78">
        <v>279.8</v>
      </c>
      <c r="D16" s="78">
        <v>284.25</v>
      </c>
      <c r="E16" s="78">
        <v>280.5</v>
      </c>
      <c r="F16" s="78">
        <v>278</v>
      </c>
      <c r="G16" s="78">
        <v>298.75</v>
      </c>
      <c r="H16" s="78">
        <v>321.25</v>
      </c>
      <c r="I16" s="78">
        <v>327.5</v>
      </c>
      <c r="J16" s="78">
        <v>348.95</v>
      </c>
      <c r="K16" s="78">
        <v>308.75</v>
      </c>
      <c r="L16" s="78">
        <v>275</v>
      </c>
      <c r="M16" s="78">
        <v>268.75</v>
      </c>
      <c r="N16" s="78">
        <v>294.5</v>
      </c>
    </row>
    <row r="17" spans="1:14">
      <c r="A17" t="s">
        <v>414</v>
      </c>
      <c r="B17" t="s">
        <v>293</v>
      </c>
      <c r="C17" s="78">
        <v>14.7</v>
      </c>
      <c r="D17" s="78">
        <v>14.94</v>
      </c>
      <c r="E17" s="78">
        <v>14.86</v>
      </c>
      <c r="F17" s="78">
        <v>16.16</v>
      </c>
      <c r="G17" s="78">
        <v>15.65</v>
      </c>
      <c r="H17" s="78">
        <v>15.5</v>
      </c>
      <c r="I17" s="78">
        <v>15.74</v>
      </c>
      <c r="J17" s="78">
        <v>14.21</v>
      </c>
      <c r="K17" s="78">
        <v>14.67</v>
      </c>
      <c r="L17" s="78">
        <v>14.25</v>
      </c>
      <c r="M17" s="78">
        <v>14.67</v>
      </c>
      <c r="N17" s="78">
        <v>14.55</v>
      </c>
    </row>
    <row r="18" spans="1:14">
      <c r="A18" t="s">
        <v>406</v>
      </c>
      <c r="B18" t="s">
        <v>293</v>
      </c>
      <c r="C18" s="78">
        <v>14.3</v>
      </c>
      <c r="D18" s="78">
        <v>14.67</v>
      </c>
      <c r="E18" s="78">
        <v>14.62</v>
      </c>
      <c r="F18" s="78">
        <v>14.3</v>
      </c>
      <c r="G18" s="78">
        <v>15.09</v>
      </c>
      <c r="H18" s="78">
        <v>15.49</v>
      </c>
      <c r="I18" s="78">
        <v>15.19</v>
      </c>
      <c r="J18" s="78">
        <v>14</v>
      </c>
      <c r="K18" s="78">
        <v>13.91</v>
      </c>
      <c r="L18" s="78">
        <v>12.69</v>
      </c>
      <c r="M18" s="78">
        <v>12.83</v>
      </c>
      <c r="N18" s="78">
        <v>13.24</v>
      </c>
    </row>
    <row r="19" spans="1:14">
      <c r="A19" t="s">
        <v>405</v>
      </c>
      <c r="B19" t="s">
        <v>293</v>
      </c>
      <c r="C19" s="78">
        <v>15.26</v>
      </c>
      <c r="D19" s="78">
        <v>15.39</v>
      </c>
      <c r="E19" s="78">
        <v>15.24</v>
      </c>
      <c r="F19" s="78">
        <v>15</v>
      </c>
      <c r="G19" s="78">
        <v>15.68</v>
      </c>
      <c r="H19" s="78">
        <v>16.079999999999998</v>
      </c>
      <c r="I19" s="78">
        <v>15.74</v>
      </c>
      <c r="J19" s="78">
        <v>14.26</v>
      </c>
      <c r="K19">
        <v>14.49</v>
      </c>
      <c r="L19">
        <v>13.91</v>
      </c>
      <c r="M19">
        <v>13.91</v>
      </c>
      <c r="N19">
        <v>14.32</v>
      </c>
    </row>
    <row r="20" spans="1:14">
      <c r="A20" t="s">
        <v>410</v>
      </c>
      <c r="B20" t="s">
        <v>297</v>
      </c>
      <c r="C20" s="78">
        <v>22.35</v>
      </c>
      <c r="D20" s="78">
        <v>22.35</v>
      </c>
      <c r="E20" s="78">
        <v>22.51</v>
      </c>
      <c r="F20" s="78">
        <v>22.38</v>
      </c>
      <c r="G20" s="78">
        <v>22.74</v>
      </c>
      <c r="H20" s="78">
        <v>23.04</v>
      </c>
      <c r="I20" s="78">
        <v>22.53</v>
      </c>
      <c r="J20" s="78">
        <v>20.81</v>
      </c>
      <c r="K20">
        <v>20.41</v>
      </c>
      <c r="L20">
        <v>19.36</v>
      </c>
      <c r="M20">
        <v>19.84</v>
      </c>
      <c r="N20">
        <v>19.72</v>
      </c>
    </row>
    <row r="21" spans="1:14">
      <c r="A21" t="s">
        <v>298</v>
      </c>
    </row>
    <row r="22" spans="1:14">
      <c r="A22" t="s">
        <v>299</v>
      </c>
    </row>
    <row r="23" spans="1:14">
      <c r="A23" t="s">
        <v>357</v>
      </c>
      <c r="B23" t="s">
        <v>295</v>
      </c>
      <c r="C23" s="78">
        <v>57.1875</v>
      </c>
      <c r="D23" s="78">
        <v>59.375</v>
      </c>
      <c r="E23" s="78">
        <v>58.95</v>
      </c>
      <c r="F23" s="78">
        <v>60.4375</v>
      </c>
      <c r="G23" s="78">
        <v>60.45</v>
      </c>
      <c r="H23" s="78">
        <v>57.5</v>
      </c>
      <c r="I23" s="78">
        <v>53.25</v>
      </c>
      <c r="J23" s="78">
        <v>48.05</v>
      </c>
      <c r="K23" s="78">
        <v>46</v>
      </c>
      <c r="L23" s="78">
        <v>44.875</v>
      </c>
      <c r="M23" s="78">
        <v>45.05</v>
      </c>
      <c r="N23" s="78">
        <v>42.625</v>
      </c>
    </row>
    <row r="24" spans="1:14">
      <c r="A24" t="s">
        <v>300</v>
      </c>
      <c r="B24" t="s">
        <v>301</v>
      </c>
      <c r="C24" s="78">
        <v>39.375</v>
      </c>
      <c r="D24" s="78">
        <v>41.25</v>
      </c>
      <c r="E24" s="78">
        <v>39.299999999999997</v>
      </c>
      <c r="F24" s="78">
        <v>38</v>
      </c>
      <c r="G24" s="78">
        <v>38.200000000000003</v>
      </c>
      <c r="H24" s="78">
        <v>40.75</v>
      </c>
      <c r="I24" s="78">
        <v>41.5</v>
      </c>
      <c r="J24" s="78">
        <v>41.5</v>
      </c>
      <c r="K24" s="78">
        <v>46</v>
      </c>
      <c r="L24" s="78">
        <v>45</v>
      </c>
      <c r="M24" s="78">
        <v>59.3</v>
      </c>
      <c r="N24" s="78">
        <v>61</v>
      </c>
    </row>
    <row r="25" spans="1:14">
      <c r="A25" t="s">
        <v>466</v>
      </c>
      <c r="B25" t="s">
        <v>301</v>
      </c>
      <c r="C25" s="78">
        <v>52.06</v>
      </c>
      <c r="D25" s="78">
        <v>51.71</v>
      </c>
      <c r="E25" s="78">
        <v>47.76</v>
      </c>
      <c r="F25" s="78">
        <v>47.06</v>
      </c>
      <c r="G25" s="78">
        <v>45.23</v>
      </c>
      <c r="H25" s="78">
        <v>42.5</v>
      </c>
      <c r="I25" s="78">
        <v>38.909999999999997</v>
      </c>
      <c r="J25" s="78">
        <v>38.93</v>
      </c>
      <c r="K25" s="78">
        <v>38.46</v>
      </c>
      <c r="L25">
        <v>37.85</v>
      </c>
      <c r="M25">
        <v>38.79</v>
      </c>
      <c r="N25">
        <v>38.31</v>
      </c>
    </row>
    <row r="26" spans="1:14">
      <c r="A26" t="s">
        <v>460</v>
      </c>
      <c r="B26" t="s">
        <v>301</v>
      </c>
      <c r="C26" s="78">
        <v>37.726190476190474</v>
      </c>
      <c r="D26" s="78">
        <v>38.75</v>
      </c>
      <c r="E26" s="78">
        <v>38.261904761904759</v>
      </c>
      <c r="F26" s="78">
        <v>37.68181818181818</v>
      </c>
      <c r="G26" s="78">
        <v>36.357142857142854</v>
      </c>
      <c r="H26" s="78">
        <v>36.212499999999999</v>
      </c>
      <c r="I26" s="78">
        <v>37.534090909090907</v>
      </c>
      <c r="J26" s="78">
        <v>38.159999999999997</v>
      </c>
      <c r="K26" s="78">
        <v>36.950000000000003</v>
      </c>
      <c r="L26">
        <v>30.36</v>
      </c>
      <c r="M26">
        <v>28.28</v>
      </c>
      <c r="N26">
        <v>29.74</v>
      </c>
    </row>
    <row r="27" spans="1:14">
      <c r="A27" t="s">
        <v>303</v>
      </c>
      <c r="B27" t="s">
        <v>301</v>
      </c>
      <c r="C27" s="78">
        <v>50.9375</v>
      </c>
      <c r="D27" s="78">
        <v>51.5625</v>
      </c>
      <c r="E27" s="78">
        <v>50.2</v>
      </c>
      <c r="F27" s="78">
        <v>49.9375</v>
      </c>
      <c r="G27" s="78">
        <v>49.75</v>
      </c>
      <c r="H27" s="78">
        <v>48.25</v>
      </c>
      <c r="I27" s="78">
        <v>46.1875</v>
      </c>
      <c r="J27" s="78">
        <v>43.1</v>
      </c>
      <c r="K27" s="78">
        <v>42.8125</v>
      </c>
      <c r="L27" s="78">
        <v>41.1875</v>
      </c>
      <c r="M27" s="78">
        <v>42.05</v>
      </c>
      <c r="N27" s="78">
        <v>43.1875</v>
      </c>
    </row>
    <row r="28" spans="1:14">
      <c r="A28" t="s">
        <v>361</v>
      </c>
      <c r="B28" t="s">
        <v>301</v>
      </c>
      <c r="C28" s="78">
        <v>52.45</v>
      </c>
      <c r="D28" s="78">
        <v>45.56</v>
      </c>
      <c r="E28" s="57" t="s">
        <v>315</v>
      </c>
      <c r="F28" s="78">
        <v>43.5</v>
      </c>
      <c r="G28" s="78">
        <v>44.5</v>
      </c>
      <c r="H28" s="78">
        <v>48.5</v>
      </c>
      <c r="I28" s="78">
        <v>53.25</v>
      </c>
      <c r="J28" s="78">
        <v>56.89</v>
      </c>
      <c r="K28" s="78">
        <v>64.78</v>
      </c>
      <c r="L28" s="78">
        <v>43</v>
      </c>
      <c r="M28" s="78">
        <v>48</v>
      </c>
      <c r="N28" s="78">
        <v>41.5</v>
      </c>
    </row>
    <row r="29" spans="1:14">
      <c r="A29" t="s">
        <v>304</v>
      </c>
      <c r="B29" t="s">
        <v>301</v>
      </c>
      <c r="C29" s="78">
        <v>41.375</v>
      </c>
      <c r="D29" s="78">
        <v>42.0625</v>
      </c>
      <c r="E29" s="78">
        <v>41</v>
      </c>
      <c r="F29" s="78">
        <v>41.375</v>
      </c>
      <c r="G29" s="78">
        <v>41.35</v>
      </c>
      <c r="H29" s="78">
        <v>41.3125</v>
      </c>
      <c r="I29" s="78">
        <v>40.1875</v>
      </c>
      <c r="J29" s="78">
        <v>39.700000000000003</v>
      </c>
      <c r="K29" s="78">
        <v>40</v>
      </c>
      <c r="L29" s="78">
        <v>40.1875</v>
      </c>
      <c r="M29" s="78">
        <v>42.65</v>
      </c>
      <c r="N29" s="78">
        <v>42.375</v>
      </c>
    </row>
    <row r="30" spans="1:14">
      <c r="A30" t="s">
        <v>423</v>
      </c>
      <c r="B30" t="s">
        <v>301</v>
      </c>
      <c r="C30" s="78">
        <v>44.25</v>
      </c>
      <c r="D30" s="78">
        <v>44.875</v>
      </c>
      <c r="E30" s="78">
        <v>43.5</v>
      </c>
      <c r="F30" s="78">
        <v>44.625</v>
      </c>
      <c r="G30" s="78">
        <v>45.2</v>
      </c>
      <c r="H30" s="78">
        <v>46.5625</v>
      </c>
      <c r="I30" s="78">
        <v>44.9375</v>
      </c>
      <c r="J30" s="78">
        <v>44.6</v>
      </c>
      <c r="K30" s="78">
        <v>44.1875</v>
      </c>
      <c r="L30" s="78">
        <v>44.375</v>
      </c>
      <c r="M30" s="78">
        <v>47.1</v>
      </c>
      <c r="N30" s="78">
        <v>48.1875</v>
      </c>
    </row>
    <row r="31" spans="1:14">
      <c r="A31" t="s">
        <v>305</v>
      </c>
      <c r="B31" t="s">
        <v>301</v>
      </c>
      <c r="C31" s="78">
        <v>96.75</v>
      </c>
      <c r="D31" s="78">
        <v>86</v>
      </c>
      <c r="E31" s="78">
        <v>79.05</v>
      </c>
      <c r="F31" s="78">
        <v>77.5</v>
      </c>
      <c r="G31" s="78">
        <v>80</v>
      </c>
      <c r="H31" s="78">
        <v>82.75</v>
      </c>
      <c r="I31" s="78">
        <v>84</v>
      </c>
      <c r="J31" s="78">
        <v>83</v>
      </c>
      <c r="K31" s="78">
        <v>82</v>
      </c>
      <c r="L31" s="78">
        <v>81</v>
      </c>
      <c r="M31" s="78">
        <v>78.7</v>
      </c>
      <c r="N31" s="78">
        <v>75.375</v>
      </c>
    </row>
    <row r="32" spans="1:14">
      <c r="A32" t="s">
        <v>306</v>
      </c>
      <c r="B32" t="s">
        <v>301</v>
      </c>
      <c r="C32">
        <v>48.85</v>
      </c>
      <c r="D32">
        <v>49.33</v>
      </c>
      <c r="E32">
        <v>48.62</v>
      </c>
      <c r="F32">
        <v>49.28</v>
      </c>
      <c r="G32">
        <v>49.31</v>
      </c>
      <c r="H32">
        <v>47.84</v>
      </c>
      <c r="I32">
        <v>45.19</v>
      </c>
      <c r="J32">
        <v>42.33</v>
      </c>
      <c r="K32">
        <v>42.12</v>
      </c>
      <c r="L32">
        <v>39.659999999999997</v>
      </c>
      <c r="M32">
        <v>39.58</v>
      </c>
      <c r="N32">
        <v>37.630000000000003</v>
      </c>
    </row>
    <row r="33" spans="1:15">
      <c r="A33" t="s">
        <v>307</v>
      </c>
      <c r="B33" t="s">
        <v>301</v>
      </c>
      <c r="C33" s="78">
        <v>65.25</v>
      </c>
      <c r="D33" s="78">
        <v>65</v>
      </c>
      <c r="E33" s="78">
        <v>64.599999999999994</v>
      </c>
      <c r="F33" s="78">
        <v>64</v>
      </c>
      <c r="G33" s="78">
        <v>64</v>
      </c>
      <c r="H33" s="78">
        <v>64</v>
      </c>
      <c r="I33" s="78">
        <v>64</v>
      </c>
      <c r="J33" s="78">
        <v>64</v>
      </c>
      <c r="K33" s="78">
        <v>63.75</v>
      </c>
      <c r="L33" s="78">
        <v>60.5</v>
      </c>
      <c r="M33" s="78">
        <v>57.4</v>
      </c>
      <c r="N33" s="78">
        <v>57</v>
      </c>
    </row>
    <row r="34" spans="1:15">
      <c r="A34" t="s">
        <v>359</v>
      </c>
      <c r="B34" t="s">
        <v>301</v>
      </c>
      <c r="C34" s="78">
        <v>43.5</v>
      </c>
      <c r="D34" s="78">
        <v>41.93</v>
      </c>
      <c r="E34" s="78">
        <v>45</v>
      </c>
      <c r="F34" s="78">
        <v>43.5</v>
      </c>
      <c r="G34" s="78">
        <v>43.86</v>
      </c>
      <c r="H34" s="78">
        <v>48.44</v>
      </c>
      <c r="I34" s="78">
        <v>49.13</v>
      </c>
      <c r="J34" s="78">
        <v>43.18</v>
      </c>
      <c r="K34" s="78">
        <v>40.020000000000003</v>
      </c>
      <c r="L34" s="78">
        <v>33.17</v>
      </c>
      <c r="M34" s="78">
        <v>38.880000000000003</v>
      </c>
      <c r="N34" s="78">
        <v>39.619999999999997</v>
      </c>
    </row>
    <row r="35" spans="1:15">
      <c r="A35" s="107" t="s">
        <v>422</v>
      </c>
      <c r="B35" t="s">
        <v>301</v>
      </c>
      <c r="C35" s="78">
        <v>37.700000000000003</v>
      </c>
      <c r="D35" s="78">
        <v>38.380000000000003</v>
      </c>
      <c r="E35" s="78">
        <v>39.090000000000003</v>
      </c>
      <c r="F35" s="78">
        <v>38.25</v>
      </c>
      <c r="G35" s="78">
        <v>37.409999999999997</v>
      </c>
      <c r="H35" s="78">
        <v>37.94</v>
      </c>
      <c r="I35" s="78">
        <v>38.630000000000003</v>
      </c>
      <c r="J35" s="78">
        <v>37.380000000000003</v>
      </c>
      <c r="K35" s="78">
        <v>38.72</v>
      </c>
      <c r="L35" s="78">
        <v>26.31</v>
      </c>
      <c r="M35" s="78">
        <v>27.13</v>
      </c>
      <c r="N35" s="78">
        <v>28.69</v>
      </c>
      <c r="O35" s="57"/>
    </row>
    <row r="36" spans="1:15">
      <c r="A36" s="107" t="s">
        <v>418</v>
      </c>
      <c r="B36" s="107" t="s">
        <v>419</v>
      </c>
      <c r="C36" s="78">
        <v>4.2750000000000004</v>
      </c>
      <c r="D36" s="78">
        <v>4.4937500000000004</v>
      </c>
      <c r="E36" s="78">
        <v>4.6249999999999991</v>
      </c>
      <c r="F36" s="78">
        <v>4.7759999999999998</v>
      </c>
      <c r="G36" s="78">
        <v>4.8709999999999996</v>
      </c>
      <c r="H36" s="78">
        <v>4.9387499999999998</v>
      </c>
      <c r="I36" s="78">
        <v>5.0287500000000005</v>
      </c>
      <c r="J36" s="78">
        <v>4.8900000000000006</v>
      </c>
      <c r="K36" s="78">
        <v>4.8800000000000008</v>
      </c>
      <c r="L36" s="78">
        <v>4.54</v>
      </c>
      <c r="M36" s="78">
        <v>4.1680000000000001</v>
      </c>
      <c r="N36" s="78">
        <v>3.9025000000000003</v>
      </c>
    </row>
    <row r="37" spans="1:15">
      <c r="A37" t="s">
        <v>308</v>
      </c>
    </row>
    <row r="38" spans="1:15">
      <c r="A38" t="s">
        <v>358</v>
      </c>
      <c r="B38" t="s">
        <v>287</v>
      </c>
      <c r="C38">
        <v>347.22</v>
      </c>
      <c r="D38">
        <v>359.23</v>
      </c>
      <c r="E38">
        <v>356.74</v>
      </c>
      <c r="F38">
        <v>340.42</v>
      </c>
      <c r="G38">
        <v>362.51</v>
      </c>
      <c r="H38">
        <v>376.19</v>
      </c>
      <c r="I38">
        <v>374.89</v>
      </c>
      <c r="J38">
        <v>340.44</v>
      </c>
      <c r="K38">
        <v>354.55</v>
      </c>
      <c r="L38">
        <v>334.95</v>
      </c>
      <c r="M38">
        <v>342.86</v>
      </c>
      <c r="N38">
        <v>373.6</v>
      </c>
    </row>
    <row r="39" spans="1:15">
      <c r="A39" t="s">
        <v>309</v>
      </c>
      <c r="B39" t="s">
        <v>301</v>
      </c>
      <c r="C39" s="78">
        <v>327.5</v>
      </c>
      <c r="D39" s="78">
        <v>279.38</v>
      </c>
      <c r="E39" s="78">
        <v>301.88</v>
      </c>
      <c r="F39" s="78">
        <v>314.5</v>
      </c>
      <c r="G39" s="78">
        <v>311.88</v>
      </c>
      <c r="H39" s="78">
        <v>329.38</v>
      </c>
      <c r="I39" s="78">
        <v>344.5</v>
      </c>
      <c r="J39" s="78">
        <v>330</v>
      </c>
      <c r="K39" s="78">
        <v>374.38</v>
      </c>
      <c r="L39" s="78">
        <v>355</v>
      </c>
      <c r="M39" s="78">
        <v>345</v>
      </c>
      <c r="N39" s="78">
        <v>401.88</v>
      </c>
    </row>
    <row r="40" spans="1:15">
      <c r="A40" t="s">
        <v>338</v>
      </c>
      <c r="B40" t="s">
        <v>301</v>
      </c>
      <c r="C40" s="78">
        <v>296</v>
      </c>
      <c r="D40" s="78">
        <v>303.75</v>
      </c>
      <c r="E40" s="78">
        <v>303.75</v>
      </c>
      <c r="F40" s="78">
        <v>309</v>
      </c>
      <c r="G40" s="78">
        <v>331.875</v>
      </c>
      <c r="H40" s="78">
        <v>340</v>
      </c>
      <c r="I40" s="78">
        <v>382.5</v>
      </c>
      <c r="J40" s="78">
        <v>317.5</v>
      </c>
      <c r="K40" s="78">
        <v>400</v>
      </c>
      <c r="L40" s="78">
        <v>363.75</v>
      </c>
      <c r="M40" s="78">
        <v>316.25</v>
      </c>
      <c r="N40" s="78">
        <v>328.75</v>
      </c>
    </row>
    <row r="41" spans="1:15">
      <c r="A41" t="s">
        <v>339</v>
      </c>
      <c r="B41" t="s">
        <v>301</v>
      </c>
      <c r="C41">
        <v>431.39</v>
      </c>
      <c r="D41">
        <v>440.66</v>
      </c>
      <c r="E41">
        <v>437.33</v>
      </c>
      <c r="F41">
        <v>422.07</v>
      </c>
      <c r="G41">
        <v>465.72</v>
      </c>
      <c r="H41">
        <v>496.78</v>
      </c>
      <c r="I41">
        <v>544.59</v>
      </c>
      <c r="J41">
        <v>464.9</v>
      </c>
      <c r="K41">
        <v>500.39</v>
      </c>
      <c r="L41">
        <v>443.63</v>
      </c>
      <c r="M41">
        <v>451.13</v>
      </c>
      <c r="N41">
        <v>498.1</v>
      </c>
    </row>
    <row r="42" spans="1:15">
      <c r="A42" t="s">
        <v>416</v>
      </c>
      <c r="B42" t="s">
        <v>301</v>
      </c>
      <c r="C42" s="78">
        <v>252</v>
      </c>
      <c r="D42" s="78">
        <v>237.5</v>
      </c>
      <c r="E42" s="78">
        <v>231.25</v>
      </c>
      <c r="F42" s="78">
        <v>222</v>
      </c>
      <c r="G42" s="78">
        <v>215</v>
      </c>
      <c r="H42" s="78">
        <v>233.13</v>
      </c>
      <c r="I42" s="78">
        <v>245.5</v>
      </c>
      <c r="J42" s="78">
        <v>221.25</v>
      </c>
      <c r="K42" s="78">
        <v>218.13</v>
      </c>
      <c r="L42" s="78">
        <v>236.25</v>
      </c>
      <c r="M42" s="78">
        <v>246.88</v>
      </c>
      <c r="N42" s="78">
        <v>277.5</v>
      </c>
    </row>
    <row r="43" spans="1:15">
      <c r="A43" t="s">
        <v>415</v>
      </c>
      <c r="B43" t="s">
        <v>310</v>
      </c>
    </row>
    <row r="44" spans="1:15">
      <c r="A44" t="s">
        <v>311</v>
      </c>
    </row>
    <row r="45" spans="1:15">
      <c r="A45" t="s">
        <v>312</v>
      </c>
      <c r="B45" t="s">
        <v>301</v>
      </c>
      <c r="C45" s="60">
        <v>347.7</v>
      </c>
      <c r="D45" s="60">
        <v>313.3</v>
      </c>
      <c r="E45" s="60">
        <v>280.3</v>
      </c>
      <c r="F45" s="60">
        <v>279.2</v>
      </c>
      <c r="G45" s="60">
        <v>274.2</v>
      </c>
      <c r="H45" s="60">
        <v>276.89999999999998</v>
      </c>
      <c r="I45" s="60">
        <v>293.39999999999998</v>
      </c>
      <c r="J45" s="60">
        <v>317.10000000000002</v>
      </c>
      <c r="K45" s="60">
        <v>343</v>
      </c>
      <c r="L45" s="60">
        <v>349.1</v>
      </c>
      <c r="M45" s="60">
        <v>299.2</v>
      </c>
      <c r="N45" s="60">
        <v>293.7</v>
      </c>
    </row>
    <row r="46" spans="1:15">
      <c r="A46" t="s">
        <v>313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5">
      <c r="A47" t="s">
        <v>389</v>
      </c>
      <c r="B47" t="s">
        <v>301</v>
      </c>
      <c r="C47" s="60">
        <v>319.5</v>
      </c>
      <c r="D47" s="60">
        <v>318.3</v>
      </c>
      <c r="E47" s="60">
        <v>321.89999999999998</v>
      </c>
      <c r="F47" s="60">
        <v>319.89999999999998</v>
      </c>
      <c r="G47" s="60">
        <v>319.3</v>
      </c>
      <c r="H47" s="60">
        <v>319</v>
      </c>
      <c r="I47" s="60">
        <v>318.8</v>
      </c>
      <c r="J47" s="60">
        <v>318</v>
      </c>
      <c r="K47" s="60">
        <v>319.89999999999998</v>
      </c>
      <c r="L47" s="60">
        <v>307.60000000000002</v>
      </c>
      <c r="M47" s="60">
        <v>312.5</v>
      </c>
      <c r="N47" s="60">
        <v>313.7</v>
      </c>
    </row>
    <row r="48" spans="1:15">
      <c r="A48" t="s">
        <v>450</v>
      </c>
      <c r="B48" t="s">
        <v>301</v>
      </c>
      <c r="C48" s="60">
        <v>284.5</v>
      </c>
      <c r="D48" s="60">
        <v>283.3</v>
      </c>
      <c r="E48" s="60">
        <v>283.60000000000002</v>
      </c>
      <c r="F48" s="60">
        <v>281.5</v>
      </c>
      <c r="G48" s="60">
        <v>276.39999999999998</v>
      </c>
      <c r="H48" s="60">
        <v>275.89999999999998</v>
      </c>
      <c r="I48" s="60">
        <v>280.89999999999998</v>
      </c>
      <c r="J48" s="60">
        <v>275.8</v>
      </c>
      <c r="K48" s="60">
        <v>275.39999999999998</v>
      </c>
      <c r="L48" s="60">
        <v>270.3</v>
      </c>
      <c r="M48" s="60">
        <v>267.60000000000002</v>
      </c>
      <c r="N48" s="60">
        <v>260.89999999999998</v>
      </c>
      <c r="O48" s="60"/>
    </row>
    <row r="49" spans="1:15">
      <c r="A49" t="s">
        <v>388</v>
      </c>
      <c r="B49" t="s">
        <v>301</v>
      </c>
      <c r="C49" s="60">
        <v>315.10000000000002</v>
      </c>
      <c r="D49" s="60">
        <v>324.10000000000002</v>
      </c>
      <c r="E49" s="60">
        <v>319.10000000000002</v>
      </c>
      <c r="F49" s="60">
        <v>324.7</v>
      </c>
      <c r="G49" s="60">
        <v>321.60000000000002</v>
      </c>
      <c r="H49" s="60">
        <v>317.89999999999998</v>
      </c>
      <c r="I49" s="60">
        <v>316.10000000000002</v>
      </c>
      <c r="J49" s="60">
        <v>293.10000000000002</v>
      </c>
      <c r="K49" s="60">
        <v>290.39999999999998</v>
      </c>
      <c r="L49" s="60">
        <v>274.89999999999998</v>
      </c>
      <c r="M49" s="60">
        <v>265.3</v>
      </c>
      <c r="N49" s="60">
        <v>268.60000000000002</v>
      </c>
      <c r="O49" s="60"/>
    </row>
    <row r="50" spans="1:15">
      <c r="A50" s="1" t="s">
        <v>436</v>
      </c>
      <c r="B50" s="1" t="s">
        <v>437</v>
      </c>
      <c r="C50" s="130">
        <v>157.80000000000001</v>
      </c>
      <c r="D50" s="130">
        <v>157.80000000000001</v>
      </c>
      <c r="E50" s="130">
        <v>145.4</v>
      </c>
      <c r="F50" s="130">
        <v>145.4</v>
      </c>
      <c r="G50" s="130">
        <v>147.30000000000001</v>
      </c>
      <c r="H50" s="130">
        <v>147.30000000000001</v>
      </c>
      <c r="I50" s="130">
        <v>147.30000000000001</v>
      </c>
      <c r="J50" s="130">
        <v>147.30000000000001</v>
      </c>
      <c r="K50" s="130">
        <v>147.30000000000001</v>
      </c>
      <c r="L50" s="130">
        <v>147.30000000000001</v>
      </c>
      <c r="M50" s="130">
        <v>147.30000000000001</v>
      </c>
      <c r="N50" s="130">
        <v>147.30000000000001</v>
      </c>
    </row>
    <row r="51" spans="1:15">
      <c r="A51" s="107" t="s">
        <v>537</v>
      </c>
    </row>
    <row r="52" spans="1:15">
      <c r="A52" s="107" t="s">
        <v>538</v>
      </c>
      <c r="K52" s="139"/>
      <c r="M52" s="145"/>
      <c r="N52" s="278" t="s">
        <v>679</v>
      </c>
    </row>
    <row r="53" spans="1:15" ht="10.199999999999999" customHeight="1">
      <c r="A53" s="107"/>
      <c r="L53" s="145"/>
    </row>
  </sheetData>
  <pageMargins left="0.7" right="0.7" top="0.75" bottom="0.75" header="0.3" footer="0.3"/>
  <pageSetup scale="87" orientation="landscape" r:id="rId1"/>
  <headerFooter alignWithMargins="0">
    <oddFooter>&amp;C&amp;P
Oil Crops Yearbook/OCS-2018
March 2018
Economic Research Service, USDA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53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50.7109375" customWidth="1"/>
    <col min="2" max="14" width="9.7109375" customWidth="1"/>
  </cols>
  <sheetData>
    <row r="1" spans="1:15">
      <c r="A1" s="1" t="s">
        <v>650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C2" s="279"/>
      <c r="D2" s="279"/>
      <c r="E2" s="279"/>
      <c r="F2" s="279"/>
      <c r="G2" s="279"/>
      <c r="H2" s="297">
        <v>2014</v>
      </c>
      <c r="I2" s="279"/>
      <c r="J2" s="279"/>
      <c r="K2" s="279"/>
      <c r="L2" s="279"/>
      <c r="M2" s="279"/>
      <c r="N2" s="279"/>
    </row>
    <row r="3" spans="1:15">
      <c r="A3" s="1" t="s">
        <v>288</v>
      </c>
      <c r="B3" s="9" t="s">
        <v>314</v>
      </c>
      <c r="C3" s="184" t="s">
        <v>155</v>
      </c>
      <c r="D3" s="184" t="s">
        <v>156</v>
      </c>
      <c r="E3" s="184" t="s">
        <v>157</v>
      </c>
      <c r="F3" s="184" t="s">
        <v>158</v>
      </c>
      <c r="G3" s="184" t="s">
        <v>148</v>
      </c>
      <c r="H3" s="184" t="s">
        <v>149</v>
      </c>
      <c r="I3" s="184" t="s">
        <v>150</v>
      </c>
      <c r="J3" s="184" t="s">
        <v>159</v>
      </c>
      <c r="K3" s="184" t="s">
        <v>160</v>
      </c>
      <c r="L3" s="184" t="s">
        <v>152</v>
      </c>
      <c r="M3" s="184" t="s">
        <v>153</v>
      </c>
      <c r="N3" s="184" t="s">
        <v>154</v>
      </c>
      <c r="O3" s="121"/>
    </row>
    <row r="4" spans="1:15">
      <c r="A4" t="s">
        <v>289</v>
      </c>
    </row>
    <row r="5" spans="1:15">
      <c r="A5" t="s">
        <v>290</v>
      </c>
    </row>
    <row r="6" spans="1:15">
      <c r="A6" t="s">
        <v>402</v>
      </c>
      <c r="B6" t="s">
        <v>297</v>
      </c>
      <c r="C6" s="78">
        <v>19.8</v>
      </c>
      <c r="D6" s="78">
        <v>18.5</v>
      </c>
      <c r="E6" s="78">
        <v>18.399999999999999</v>
      </c>
      <c r="F6" s="78">
        <v>19.5</v>
      </c>
      <c r="G6" s="78">
        <v>21.7</v>
      </c>
      <c r="H6" s="78">
        <v>20.8</v>
      </c>
      <c r="I6" s="78">
        <v>20.7</v>
      </c>
      <c r="J6" s="78">
        <v>17.8</v>
      </c>
      <c r="K6" s="78">
        <v>16.2</v>
      </c>
      <c r="L6" s="78">
        <v>15.6</v>
      </c>
      <c r="M6" s="78">
        <v>17.100000000000001</v>
      </c>
      <c r="N6" s="78">
        <v>16.600000000000001</v>
      </c>
    </row>
    <row r="7" spans="1:15">
      <c r="A7" t="s">
        <v>291</v>
      </c>
      <c r="B7" t="s">
        <v>287</v>
      </c>
      <c r="C7" s="78">
        <v>230</v>
      </c>
      <c r="D7" s="78">
        <v>226</v>
      </c>
      <c r="E7" s="57" t="s">
        <v>315</v>
      </c>
      <c r="F7" s="57" t="s">
        <v>315</v>
      </c>
      <c r="G7" s="57" t="s">
        <v>315</v>
      </c>
      <c r="H7" s="57" t="s">
        <v>315</v>
      </c>
      <c r="I7" s="57" t="s">
        <v>315</v>
      </c>
      <c r="J7" s="78">
        <v>182</v>
      </c>
      <c r="K7" s="78">
        <v>175</v>
      </c>
      <c r="L7" s="78">
        <v>201</v>
      </c>
      <c r="M7" s="78">
        <v>198</v>
      </c>
      <c r="N7" s="78">
        <v>186</v>
      </c>
    </row>
    <row r="8" spans="1:15">
      <c r="A8" t="s">
        <v>292</v>
      </c>
      <c r="B8" t="s">
        <v>293</v>
      </c>
      <c r="C8" s="78">
        <v>13.8</v>
      </c>
      <c r="D8" s="78">
        <v>13.8</v>
      </c>
      <c r="E8" s="78">
        <v>13.5</v>
      </c>
      <c r="F8" s="78">
        <v>13.9</v>
      </c>
      <c r="G8" s="78">
        <v>14.9</v>
      </c>
      <c r="H8" s="78">
        <v>14.4</v>
      </c>
      <c r="I8" s="78">
        <v>14</v>
      </c>
      <c r="J8" s="78">
        <v>13.3</v>
      </c>
      <c r="K8" s="78">
        <v>11.7</v>
      </c>
      <c r="L8" s="78">
        <v>11.5</v>
      </c>
      <c r="M8" s="78">
        <v>11.6</v>
      </c>
      <c r="N8" s="78">
        <v>11.4</v>
      </c>
    </row>
    <row r="9" spans="1:15">
      <c r="A9" t="s">
        <v>294</v>
      </c>
      <c r="B9" t="s">
        <v>295</v>
      </c>
      <c r="C9" s="78">
        <v>25.4</v>
      </c>
      <c r="D9" s="78">
        <v>24.3</v>
      </c>
      <c r="E9" s="78">
        <v>25</v>
      </c>
      <c r="F9" s="78">
        <v>24.2</v>
      </c>
      <c r="G9" s="78">
        <v>23.7</v>
      </c>
      <c r="H9" s="78">
        <v>20</v>
      </c>
      <c r="I9" s="78">
        <v>21.7</v>
      </c>
      <c r="J9" s="78">
        <v>22.1</v>
      </c>
      <c r="K9" s="78">
        <v>21.5</v>
      </c>
      <c r="L9" s="78">
        <v>21</v>
      </c>
      <c r="M9" s="78">
        <v>21.4</v>
      </c>
      <c r="N9" s="78">
        <v>20.9</v>
      </c>
    </row>
    <row r="10" spans="1:15">
      <c r="A10" t="s">
        <v>296</v>
      </c>
      <c r="B10" t="s">
        <v>293</v>
      </c>
      <c r="C10" s="78">
        <v>12.9</v>
      </c>
      <c r="D10" s="78">
        <v>13.2</v>
      </c>
      <c r="E10" s="78">
        <v>13.7</v>
      </c>
      <c r="F10" s="78">
        <v>14.3</v>
      </c>
      <c r="G10" s="78">
        <v>14.4</v>
      </c>
      <c r="H10" s="78">
        <v>14.3</v>
      </c>
      <c r="I10" s="78">
        <v>13.1</v>
      </c>
      <c r="J10" s="78">
        <v>12.4</v>
      </c>
      <c r="K10" s="78">
        <v>13.3</v>
      </c>
      <c r="L10" s="78">
        <v>12.5</v>
      </c>
      <c r="M10" s="78">
        <v>12.7</v>
      </c>
      <c r="N10" s="78">
        <v>13</v>
      </c>
    </row>
    <row r="11" spans="1:15">
      <c r="A11" t="s">
        <v>507</v>
      </c>
      <c r="B11" t="s">
        <v>297</v>
      </c>
      <c r="C11" s="78">
        <v>19.600000000000001</v>
      </c>
      <c r="D11" s="78">
        <v>22.8</v>
      </c>
      <c r="E11" s="78">
        <v>21.6</v>
      </c>
      <c r="F11" s="78">
        <v>22.3</v>
      </c>
      <c r="G11" s="78">
        <v>24.1</v>
      </c>
      <c r="H11" s="78">
        <v>22.8</v>
      </c>
      <c r="I11" s="78">
        <v>22.1</v>
      </c>
      <c r="J11" s="78">
        <v>22.4</v>
      </c>
      <c r="K11" s="78">
        <v>20.2</v>
      </c>
      <c r="L11" s="78">
        <v>21.7</v>
      </c>
      <c r="M11" s="78">
        <v>20.3</v>
      </c>
      <c r="N11" s="78">
        <v>19.7</v>
      </c>
    </row>
    <row r="12" spans="1:15">
      <c r="A12" t="s">
        <v>508</v>
      </c>
      <c r="B12" t="s">
        <v>297</v>
      </c>
      <c r="C12" s="78">
        <v>18.7</v>
      </c>
      <c r="D12" s="78">
        <v>20</v>
      </c>
      <c r="E12" s="78">
        <v>19.399999999999999</v>
      </c>
      <c r="F12" s="78">
        <v>19.7</v>
      </c>
      <c r="G12" s="78">
        <v>21.7</v>
      </c>
      <c r="H12" s="78">
        <v>20.7</v>
      </c>
      <c r="I12" s="78">
        <v>20.5</v>
      </c>
      <c r="J12" s="78">
        <v>19.399999999999999</v>
      </c>
      <c r="K12" s="78">
        <v>19.3</v>
      </c>
      <c r="L12" s="78">
        <v>18.100000000000001</v>
      </c>
      <c r="M12" s="78">
        <v>17.5</v>
      </c>
      <c r="N12" s="78">
        <v>17.7</v>
      </c>
    </row>
    <row r="13" spans="1:15">
      <c r="A13" t="s">
        <v>509</v>
      </c>
      <c r="B13" t="s">
        <v>297</v>
      </c>
      <c r="C13" s="78">
        <v>34</v>
      </c>
      <c r="D13" s="78">
        <v>32</v>
      </c>
      <c r="E13" s="78">
        <v>33</v>
      </c>
      <c r="F13" s="78">
        <v>32</v>
      </c>
      <c r="G13" s="78">
        <v>30.8</v>
      </c>
      <c r="H13" s="78">
        <v>30.8</v>
      </c>
      <c r="I13" s="78">
        <v>32.4</v>
      </c>
      <c r="J13" s="78">
        <v>31.8</v>
      </c>
      <c r="K13" s="78">
        <v>33.6</v>
      </c>
      <c r="L13" s="78">
        <v>32.799999999999997</v>
      </c>
      <c r="M13" s="78">
        <v>32.6</v>
      </c>
      <c r="N13" s="78">
        <v>31.3</v>
      </c>
    </row>
    <row r="14" spans="1:15">
      <c r="A14" t="s">
        <v>409</v>
      </c>
    </row>
    <row r="15" spans="1:15">
      <c r="A15" t="s">
        <v>407</v>
      </c>
      <c r="B15" t="s">
        <v>297</v>
      </c>
      <c r="C15" s="78">
        <v>17.13</v>
      </c>
      <c r="D15" s="78">
        <v>17.260000000000002</v>
      </c>
      <c r="E15" s="78">
        <v>19.07</v>
      </c>
      <c r="F15" s="78">
        <v>19.920000000000002</v>
      </c>
      <c r="G15" s="78">
        <v>20.89</v>
      </c>
      <c r="H15" s="78">
        <v>19.25</v>
      </c>
      <c r="I15" s="78">
        <v>18.61</v>
      </c>
      <c r="J15" s="78">
        <v>16.809999999999999</v>
      </c>
      <c r="K15" s="78">
        <v>15.91</v>
      </c>
      <c r="L15" s="78">
        <v>16.41</v>
      </c>
      <c r="M15" s="78">
        <v>17.39</v>
      </c>
      <c r="N15" s="78">
        <v>17.13</v>
      </c>
    </row>
    <row r="16" spans="1:15">
      <c r="A16" t="s">
        <v>408</v>
      </c>
      <c r="B16" t="s">
        <v>287</v>
      </c>
      <c r="C16" s="78">
        <v>320.25</v>
      </c>
      <c r="D16" s="78">
        <v>371.25</v>
      </c>
      <c r="E16" s="78">
        <v>400.5</v>
      </c>
      <c r="F16" s="78">
        <v>421</v>
      </c>
      <c r="G16" s="78">
        <v>451.75</v>
      </c>
      <c r="H16" s="78">
        <v>453.25</v>
      </c>
      <c r="I16" s="78">
        <v>383</v>
      </c>
      <c r="J16" s="78">
        <v>356.25</v>
      </c>
      <c r="K16" s="78">
        <v>346</v>
      </c>
      <c r="L16" s="78">
        <v>236.75</v>
      </c>
      <c r="M16" s="78">
        <v>220</v>
      </c>
      <c r="N16" s="78">
        <v>259</v>
      </c>
    </row>
    <row r="17" spans="1:15">
      <c r="A17" t="s">
        <v>414</v>
      </c>
      <c r="B17" t="s">
        <v>293</v>
      </c>
      <c r="C17" s="78">
        <v>14.07</v>
      </c>
      <c r="D17" s="78">
        <v>14.06</v>
      </c>
      <c r="E17" s="78">
        <v>14.6</v>
      </c>
      <c r="F17" s="78">
        <v>15.48</v>
      </c>
      <c r="G17" s="78">
        <v>15.71</v>
      </c>
      <c r="H17" s="78">
        <v>15.73</v>
      </c>
      <c r="I17" s="78">
        <v>14.8</v>
      </c>
      <c r="J17" s="78">
        <v>13.82</v>
      </c>
      <c r="K17" s="78">
        <v>13.2</v>
      </c>
      <c r="L17" s="78">
        <v>12.84</v>
      </c>
      <c r="M17" s="78">
        <v>13</v>
      </c>
      <c r="N17" s="78">
        <v>12.89</v>
      </c>
    </row>
    <row r="18" spans="1:15">
      <c r="A18" t="s">
        <v>406</v>
      </c>
      <c r="B18" t="s">
        <v>293</v>
      </c>
      <c r="C18" s="78">
        <v>12.93</v>
      </c>
      <c r="D18" s="78">
        <v>13.43</v>
      </c>
      <c r="E18" s="78">
        <v>14.17</v>
      </c>
      <c r="F18" s="78">
        <v>14.89</v>
      </c>
      <c r="G18" s="78">
        <v>14.91</v>
      </c>
      <c r="H18" s="78">
        <v>14.45</v>
      </c>
      <c r="I18" s="78">
        <v>12.85</v>
      </c>
      <c r="J18" s="78">
        <v>12.38</v>
      </c>
      <c r="K18" s="78">
        <v>10.37</v>
      </c>
      <c r="L18" s="78">
        <v>9.4</v>
      </c>
      <c r="M18" s="78">
        <v>10.15</v>
      </c>
      <c r="N18" s="78">
        <v>10.23</v>
      </c>
    </row>
    <row r="19" spans="1:15">
      <c r="A19" t="s">
        <v>405</v>
      </c>
      <c r="B19" t="s">
        <v>293</v>
      </c>
      <c r="C19" s="78">
        <v>14.05</v>
      </c>
      <c r="D19" s="78">
        <v>14.47</v>
      </c>
      <c r="E19" s="78">
        <v>15.12</v>
      </c>
      <c r="F19" s="78">
        <v>15.59</v>
      </c>
      <c r="G19" s="78">
        <v>15.58</v>
      </c>
      <c r="H19" s="78">
        <v>15.07</v>
      </c>
      <c r="I19" s="78">
        <v>13.62</v>
      </c>
      <c r="J19" s="78">
        <v>13.71</v>
      </c>
      <c r="K19">
        <v>11.12</v>
      </c>
      <c r="L19">
        <v>10.84</v>
      </c>
      <c r="M19">
        <v>11.41</v>
      </c>
      <c r="N19">
        <v>11.23</v>
      </c>
    </row>
    <row r="20" spans="1:15">
      <c r="A20" t="s">
        <v>410</v>
      </c>
      <c r="B20" t="s">
        <v>297</v>
      </c>
      <c r="C20" s="78">
        <v>19.260000000000002</v>
      </c>
      <c r="D20" s="78">
        <v>19.690000000000001</v>
      </c>
      <c r="E20" s="78">
        <v>20.49</v>
      </c>
      <c r="F20" s="78">
        <v>21.43</v>
      </c>
      <c r="G20" s="78">
        <v>21.25</v>
      </c>
      <c r="H20" s="78">
        <v>21.39</v>
      </c>
      <c r="I20" s="78">
        <v>19.96</v>
      </c>
      <c r="J20" s="78">
        <v>17.78</v>
      </c>
      <c r="K20">
        <v>17.420000000000002</v>
      </c>
      <c r="L20">
        <v>17.3</v>
      </c>
      <c r="M20">
        <v>17.54</v>
      </c>
      <c r="N20">
        <v>18.53</v>
      </c>
    </row>
    <row r="21" spans="1:15">
      <c r="A21" t="s">
        <v>298</v>
      </c>
    </row>
    <row r="22" spans="1:15">
      <c r="A22" t="s">
        <v>299</v>
      </c>
    </row>
    <row r="23" spans="1:15">
      <c r="A23" t="s">
        <v>357</v>
      </c>
      <c r="B23" t="s">
        <v>295</v>
      </c>
      <c r="C23" s="78">
        <v>39.75</v>
      </c>
      <c r="D23" s="78">
        <v>42.56</v>
      </c>
      <c r="E23" s="78">
        <v>45.75</v>
      </c>
      <c r="F23" s="78">
        <v>47.63</v>
      </c>
      <c r="G23" s="78">
        <v>47.5</v>
      </c>
      <c r="H23" s="78">
        <v>46</v>
      </c>
      <c r="I23" s="78">
        <v>43.63</v>
      </c>
      <c r="J23" s="78">
        <v>40.1</v>
      </c>
      <c r="K23" s="78">
        <v>38.94</v>
      </c>
      <c r="L23" s="78">
        <v>39.450000000000003</v>
      </c>
      <c r="M23" s="78">
        <v>38.94</v>
      </c>
      <c r="N23" s="78">
        <v>39.25</v>
      </c>
      <c r="O23" s="57"/>
    </row>
    <row r="24" spans="1:15">
      <c r="A24" t="s">
        <v>300</v>
      </c>
      <c r="B24" t="s">
        <v>301</v>
      </c>
      <c r="C24" s="78">
        <v>59.7</v>
      </c>
      <c r="D24" s="78">
        <v>63</v>
      </c>
      <c r="E24" s="78">
        <v>65.38</v>
      </c>
      <c r="F24" s="78">
        <v>62.75</v>
      </c>
      <c r="G24" s="78">
        <v>65.7</v>
      </c>
      <c r="H24" s="78">
        <v>65.31</v>
      </c>
      <c r="I24" s="78">
        <v>62.88</v>
      </c>
      <c r="J24" s="78">
        <v>56.6</v>
      </c>
      <c r="K24" s="78">
        <v>55.31</v>
      </c>
      <c r="L24" s="78">
        <v>53.75</v>
      </c>
      <c r="M24" s="78">
        <v>55.69</v>
      </c>
      <c r="N24" s="78">
        <v>56.5</v>
      </c>
      <c r="O24" s="57"/>
    </row>
    <row r="25" spans="1:15">
      <c r="A25" t="s">
        <v>466</v>
      </c>
      <c r="B25" t="s">
        <v>301</v>
      </c>
      <c r="C25" s="78">
        <v>38.79</v>
      </c>
      <c r="D25" s="78">
        <v>41.07</v>
      </c>
      <c r="E25" s="78">
        <v>43.19</v>
      </c>
      <c r="F25" s="78">
        <v>41.94</v>
      </c>
      <c r="G25" s="78">
        <v>41.02</v>
      </c>
      <c r="H25" s="78">
        <v>40.01</v>
      </c>
      <c r="I25" s="78">
        <v>39.020000000000003</v>
      </c>
      <c r="J25" s="78">
        <v>38</v>
      </c>
      <c r="K25" s="78">
        <v>35.17</v>
      </c>
      <c r="L25">
        <v>34.5</v>
      </c>
      <c r="M25">
        <v>33.96</v>
      </c>
      <c r="N25">
        <v>33.68</v>
      </c>
      <c r="O25" s="57"/>
    </row>
    <row r="26" spans="1:15">
      <c r="A26" t="s">
        <v>460</v>
      </c>
      <c r="B26" t="s">
        <v>301</v>
      </c>
      <c r="C26" s="78">
        <v>29.78</v>
      </c>
      <c r="D26" s="78">
        <v>31.22</v>
      </c>
      <c r="E26" s="78">
        <v>33.92</v>
      </c>
      <c r="F26" s="78">
        <v>34.770000000000003</v>
      </c>
      <c r="G26" s="78">
        <v>35.520000000000003</v>
      </c>
      <c r="H26" s="78">
        <v>35.119999999999997</v>
      </c>
      <c r="I26" s="78">
        <v>32.28</v>
      </c>
      <c r="J26" s="78">
        <v>29.57</v>
      </c>
      <c r="K26" s="78">
        <v>28.02</v>
      </c>
      <c r="L26" s="78">
        <v>28.13</v>
      </c>
      <c r="M26" s="78">
        <v>30.1</v>
      </c>
      <c r="N26" s="78">
        <v>30.017857142857142</v>
      </c>
      <c r="O26" s="57"/>
    </row>
    <row r="27" spans="1:15">
      <c r="A27" t="s">
        <v>303</v>
      </c>
      <c r="B27" t="s">
        <v>301</v>
      </c>
      <c r="C27" s="78">
        <v>47.1</v>
      </c>
      <c r="D27" s="78">
        <v>57.8125</v>
      </c>
      <c r="E27" s="78">
        <v>69.9375</v>
      </c>
      <c r="F27" s="78">
        <v>75</v>
      </c>
      <c r="G27" s="78">
        <v>84.25</v>
      </c>
      <c r="H27" s="78">
        <v>83.3125</v>
      </c>
      <c r="I27" s="78">
        <v>73.150000000000006</v>
      </c>
      <c r="J27" s="78">
        <v>61.25</v>
      </c>
      <c r="K27" s="78">
        <v>49.625</v>
      </c>
      <c r="L27" s="78">
        <v>41.45</v>
      </c>
      <c r="M27" s="78">
        <v>40.75</v>
      </c>
      <c r="N27" s="78">
        <v>40.3125</v>
      </c>
      <c r="O27" s="57"/>
    </row>
    <row r="28" spans="1:15">
      <c r="A28" t="s">
        <v>361</v>
      </c>
      <c r="B28" t="s">
        <v>301</v>
      </c>
      <c r="C28" s="78">
        <v>33</v>
      </c>
      <c r="D28" s="78">
        <v>38</v>
      </c>
      <c r="E28" s="78">
        <v>40.67</v>
      </c>
      <c r="F28" s="78">
        <v>53</v>
      </c>
      <c r="G28" s="57" t="s">
        <v>315</v>
      </c>
      <c r="H28" s="78">
        <v>45</v>
      </c>
      <c r="I28" s="57" t="s">
        <v>315</v>
      </c>
      <c r="J28" s="78">
        <v>46.5</v>
      </c>
      <c r="K28" s="78">
        <v>50.67</v>
      </c>
      <c r="L28" s="78">
        <v>48</v>
      </c>
      <c r="M28" s="78">
        <v>42.81</v>
      </c>
      <c r="N28" s="78">
        <v>35.909999999999997</v>
      </c>
      <c r="O28" s="57"/>
    </row>
    <row r="29" spans="1:15">
      <c r="A29" t="s">
        <v>304</v>
      </c>
      <c r="B29" t="s">
        <v>301</v>
      </c>
      <c r="C29" s="78">
        <v>40.9</v>
      </c>
      <c r="D29" s="78">
        <v>42.5</v>
      </c>
      <c r="E29" s="78">
        <v>45</v>
      </c>
      <c r="F29" s="78">
        <v>43.44</v>
      </c>
      <c r="G29" s="78">
        <v>42.4</v>
      </c>
      <c r="H29" s="78">
        <v>40.380000000000003</v>
      </c>
      <c r="I29" s="78">
        <v>40.630000000000003</v>
      </c>
      <c r="J29" s="78">
        <v>38.35</v>
      </c>
      <c r="K29" s="78">
        <v>36.56</v>
      </c>
      <c r="L29" s="78">
        <v>37</v>
      </c>
      <c r="M29" s="78">
        <v>36.94</v>
      </c>
      <c r="N29" s="78">
        <v>34.19</v>
      </c>
      <c r="O29" s="57"/>
    </row>
    <row r="30" spans="1:15">
      <c r="A30" t="s">
        <v>423</v>
      </c>
      <c r="B30" t="s">
        <v>301</v>
      </c>
      <c r="C30" s="78">
        <v>46.6</v>
      </c>
      <c r="D30" s="78">
        <v>47.25</v>
      </c>
      <c r="E30" s="78">
        <v>49.75</v>
      </c>
      <c r="F30" s="78">
        <v>48.75</v>
      </c>
      <c r="G30" s="78">
        <v>48.45</v>
      </c>
      <c r="H30" s="78">
        <v>46.19</v>
      </c>
      <c r="I30" s="78">
        <v>45.5</v>
      </c>
      <c r="J30" s="78">
        <v>43.8</v>
      </c>
      <c r="K30" s="78">
        <v>42.63</v>
      </c>
      <c r="L30" s="78">
        <v>43</v>
      </c>
      <c r="M30" s="78">
        <v>41.94</v>
      </c>
      <c r="N30" s="78">
        <v>40</v>
      </c>
      <c r="O30" s="57"/>
    </row>
    <row r="31" spans="1:15">
      <c r="A31" t="s">
        <v>305</v>
      </c>
      <c r="B31" t="s">
        <v>301</v>
      </c>
      <c r="C31" s="78">
        <v>65.7</v>
      </c>
      <c r="D31" s="78">
        <v>62.0625</v>
      </c>
      <c r="E31" s="78">
        <v>59.0625</v>
      </c>
      <c r="F31" s="78">
        <v>57.75</v>
      </c>
      <c r="G31" s="78">
        <v>57.2</v>
      </c>
      <c r="H31" s="78">
        <v>58.25</v>
      </c>
      <c r="I31" s="78">
        <v>58.625</v>
      </c>
      <c r="J31" s="78">
        <v>62.8</v>
      </c>
      <c r="K31" s="78">
        <v>61.75</v>
      </c>
      <c r="L31" s="78">
        <v>59.95</v>
      </c>
      <c r="M31" s="78">
        <v>60.625</v>
      </c>
      <c r="N31" s="78">
        <v>60.125</v>
      </c>
      <c r="O31" s="57"/>
    </row>
    <row r="32" spans="1:15">
      <c r="A32" t="s">
        <v>306</v>
      </c>
      <c r="B32" t="s">
        <v>301</v>
      </c>
      <c r="C32" s="192">
        <v>34.950000000000003</v>
      </c>
      <c r="D32" s="192">
        <v>37.11</v>
      </c>
      <c r="E32" s="192">
        <v>40.82</v>
      </c>
      <c r="F32" s="192">
        <v>41.87</v>
      </c>
      <c r="G32" s="192">
        <v>40.68</v>
      </c>
      <c r="H32" s="192">
        <v>39.840000000000003</v>
      </c>
      <c r="I32" s="192">
        <v>37.6</v>
      </c>
      <c r="J32" s="192">
        <v>35.04</v>
      </c>
      <c r="K32" s="192">
        <v>33.99</v>
      </c>
      <c r="L32" s="78">
        <v>34.1</v>
      </c>
      <c r="M32" s="78">
        <v>33.450000000000003</v>
      </c>
      <c r="N32" s="78">
        <v>32.56</v>
      </c>
      <c r="O32" s="57"/>
    </row>
    <row r="33" spans="1:15">
      <c r="A33" t="s">
        <v>307</v>
      </c>
      <c r="B33" t="s">
        <v>301</v>
      </c>
      <c r="C33" s="78">
        <v>57</v>
      </c>
      <c r="D33" s="78">
        <v>57</v>
      </c>
      <c r="E33" s="78">
        <v>58</v>
      </c>
      <c r="F33" s="78">
        <v>59</v>
      </c>
      <c r="G33" s="78">
        <v>59</v>
      </c>
      <c r="H33" s="78">
        <v>57.5</v>
      </c>
      <c r="I33" s="78">
        <v>61</v>
      </c>
      <c r="J33" s="78">
        <v>63</v>
      </c>
      <c r="K33" s="78">
        <v>63</v>
      </c>
      <c r="L33" s="78">
        <v>63</v>
      </c>
      <c r="M33" s="78">
        <v>61.75</v>
      </c>
      <c r="N33" s="78">
        <v>58</v>
      </c>
      <c r="O33" s="57"/>
    </row>
    <row r="34" spans="1:15">
      <c r="A34" t="s">
        <v>359</v>
      </c>
      <c r="B34" t="s">
        <v>301</v>
      </c>
      <c r="C34" s="78">
        <v>35.840000000000003</v>
      </c>
      <c r="D34" s="78">
        <v>35.67</v>
      </c>
      <c r="E34" s="78">
        <v>41.63</v>
      </c>
      <c r="F34" s="78">
        <v>45.5</v>
      </c>
      <c r="G34" s="78">
        <v>47</v>
      </c>
      <c r="H34" s="78">
        <v>42</v>
      </c>
      <c r="I34" s="78">
        <v>40.83</v>
      </c>
      <c r="J34" s="78">
        <v>40.9</v>
      </c>
      <c r="K34" s="78">
        <v>36.07</v>
      </c>
      <c r="L34" s="78">
        <v>30.33</v>
      </c>
      <c r="M34" s="78">
        <v>35.049999999999997</v>
      </c>
      <c r="N34" s="78">
        <v>36.11</v>
      </c>
      <c r="O34" s="57"/>
    </row>
    <row r="35" spans="1:15">
      <c r="A35" s="107" t="s">
        <v>422</v>
      </c>
      <c r="B35" t="s">
        <v>301</v>
      </c>
      <c r="C35" s="192">
        <v>27</v>
      </c>
      <c r="D35" s="192">
        <v>27.44</v>
      </c>
      <c r="E35" s="192">
        <v>32</v>
      </c>
      <c r="F35" s="192">
        <v>34.299999999999997</v>
      </c>
      <c r="G35" s="192">
        <v>36.090000000000003</v>
      </c>
      <c r="H35" s="192">
        <v>35.81</v>
      </c>
      <c r="I35" s="192">
        <v>34.6</v>
      </c>
      <c r="J35" s="192">
        <v>30.94</v>
      </c>
      <c r="K35" s="192">
        <v>28.05</v>
      </c>
      <c r="L35" s="192">
        <v>26.06</v>
      </c>
      <c r="M35" s="192">
        <v>27.09</v>
      </c>
      <c r="N35" s="192">
        <v>26.38</v>
      </c>
      <c r="O35" s="57"/>
    </row>
    <row r="36" spans="1:15">
      <c r="A36" s="107" t="s">
        <v>418</v>
      </c>
      <c r="B36" s="107" t="s">
        <v>419</v>
      </c>
      <c r="C36" s="192">
        <v>3.347</v>
      </c>
      <c r="D36" s="192">
        <v>3.3812500000000001</v>
      </c>
      <c r="E36" s="192">
        <v>3.6737500000000001</v>
      </c>
      <c r="F36" s="192">
        <v>3.7450000000000001</v>
      </c>
      <c r="G36" s="192">
        <v>3.7509999999999999</v>
      </c>
      <c r="H36" s="192">
        <v>3.7250000000000001</v>
      </c>
      <c r="I36" s="192">
        <v>3.6625000000000001</v>
      </c>
      <c r="J36" s="192">
        <v>3.4919999999999995</v>
      </c>
      <c r="K36" s="192">
        <v>3.36625</v>
      </c>
      <c r="L36" s="192">
        <v>3.1390000000000002</v>
      </c>
      <c r="M36" s="192">
        <v>3.1174999999999997</v>
      </c>
      <c r="N36" s="192">
        <v>3.0274999999999999</v>
      </c>
    </row>
    <row r="37" spans="1:15">
      <c r="A37" t="s">
        <v>308</v>
      </c>
    </row>
    <row r="38" spans="1:15">
      <c r="A38" t="s">
        <v>358</v>
      </c>
      <c r="B38" t="s">
        <v>287</v>
      </c>
      <c r="C38">
        <v>365.48</v>
      </c>
      <c r="D38">
        <v>384.21</v>
      </c>
      <c r="E38">
        <v>383.68</v>
      </c>
      <c r="F38">
        <v>398.39</v>
      </c>
      <c r="G38">
        <v>407.14</v>
      </c>
      <c r="H38">
        <v>387.65</v>
      </c>
      <c r="I38">
        <v>317.81</v>
      </c>
      <c r="J38">
        <v>303.74</v>
      </c>
      <c r="K38">
        <v>316.94</v>
      </c>
      <c r="L38">
        <v>301.75</v>
      </c>
      <c r="M38">
        <v>356.31</v>
      </c>
      <c r="N38">
        <v>349.31</v>
      </c>
    </row>
    <row r="39" spans="1:15">
      <c r="A39" t="s">
        <v>309</v>
      </c>
      <c r="B39" t="s">
        <v>301</v>
      </c>
      <c r="C39" s="78">
        <v>375.63</v>
      </c>
      <c r="D39" s="78">
        <v>388.75</v>
      </c>
      <c r="E39" s="78">
        <v>401.25</v>
      </c>
      <c r="F39" s="78">
        <v>405.5</v>
      </c>
      <c r="G39" s="78">
        <v>416.88</v>
      </c>
      <c r="H39" s="78">
        <v>412.5</v>
      </c>
      <c r="I39" s="78">
        <v>359.5</v>
      </c>
      <c r="J39" s="78">
        <v>310</v>
      </c>
      <c r="K39" s="78">
        <v>360.63</v>
      </c>
      <c r="L39" s="78">
        <v>346.88</v>
      </c>
      <c r="M39" s="78">
        <v>313.13</v>
      </c>
      <c r="N39" s="78">
        <v>332.5</v>
      </c>
    </row>
    <row r="40" spans="1:15">
      <c r="A40" t="s">
        <v>338</v>
      </c>
      <c r="B40" t="s">
        <v>301</v>
      </c>
      <c r="C40" s="78">
        <v>330</v>
      </c>
      <c r="D40" s="78">
        <v>377.5</v>
      </c>
      <c r="E40" s="78">
        <v>413.75</v>
      </c>
      <c r="F40" s="78">
        <v>388</v>
      </c>
      <c r="G40" s="78">
        <v>355</v>
      </c>
      <c r="H40" s="78">
        <v>323.75</v>
      </c>
      <c r="I40" s="78">
        <v>295</v>
      </c>
      <c r="J40" s="78">
        <v>252.5</v>
      </c>
      <c r="K40" s="78">
        <v>302.5</v>
      </c>
      <c r="L40" s="78">
        <v>214.38</v>
      </c>
      <c r="M40" s="78">
        <v>283.75</v>
      </c>
      <c r="N40" s="78">
        <v>287.5</v>
      </c>
    </row>
    <row r="41" spans="1:15">
      <c r="A41" t="s">
        <v>339</v>
      </c>
      <c r="B41" t="s">
        <v>301</v>
      </c>
      <c r="C41" s="191">
        <v>479.54</v>
      </c>
      <c r="D41" s="191">
        <v>509.25</v>
      </c>
      <c r="E41" s="191">
        <v>495.71</v>
      </c>
      <c r="F41" s="191">
        <v>514.01</v>
      </c>
      <c r="G41" s="191">
        <v>519.38</v>
      </c>
      <c r="H41" s="191">
        <v>501.72</v>
      </c>
      <c r="I41" s="191">
        <v>450.79</v>
      </c>
      <c r="J41" s="191">
        <v>490.32</v>
      </c>
      <c r="K41" s="191">
        <v>525.72</v>
      </c>
      <c r="L41" s="191">
        <v>381.5</v>
      </c>
      <c r="M41" s="191">
        <v>441.39</v>
      </c>
      <c r="N41" s="191">
        <v>431.73</v>
      </c>
    </row>
    <row r="42" spans="1:15">
      <c r="A42" t="s">
        <v>416</v>
      </c>
      <c r="B42" t="s">
        <v>301</v>
      </c>
      <c r="C42" s="78">
        <v>283.75</v>
      </c>
      <c r="D42" s="78">
        <v>285</v>
      </c>
      <c r="E42" s="78">
        <v>271.25</v>
      </c>
      <c r="F42" s="78">
        <v>267.5</v>
      </c>
      <c r="G42" s="78">
        <v>265</v>
      </c>
      <c r="H42" s="78">
        <v>250</v>
      </c>
      <c r="I42" s="78">
        <v>192.5</v>
      </c>
      <c r="J42" s="78">
        <v>151.25</v>
      </c>
      <c r="K42" s="78">
        <v>139.5</v>
      </c>
      <c r="L42" s="78">
        <v>162.5</v>
      </c>
      <c r="M42" s="78">
        <v>208.13</v>
      </c>
      <c r="N42" s="78">
        <v>245</v>
      </c>
    </row>
    <row r="43" spans="1:15">
      <c r="A43" t="s">
        <v>415</v>
      </c>
      <c r="B43" t="s">
        <v>310</v>
      </c>
      <c r="O43" s="26"/>
    </row>
    <row r="44" spans="1:15">
      <c r="A44" t="s">
        <v>311</v>
      </c>
      <c r="O44" s="26"/>
    </row>
    <row r="45" spans="1:15">
      <c r="A45" t="s">
        <v>312</v>
      </c>
      <c r="B45" t="s">
        <v>301</v>
      </c>
      <c r="C45" s="60">
        <v>286.10000000000002</v>
      </c>
      <c r="D45" s="60">
        <v>216</v>
      </c>
      <c r="E45" s="60">
        <v>225.3</v>
      </c>
      <c r="F45" s="60">
        <v>264.2</v>
      </c>
      <c r="G45" s="60">
        <v>323.5</v>
      </c>
      <c r="H45" s="60">
        <v>326.5</v>
      </c>
      <c r="I45" s="60">
        <v>286.2</v>
      </c>
      <c r="J45" s="60">
        <v>279.7</v>
      </c>
      <c r="K45" s="60">
        <v>283.60000000000002</v>
      </c>
      <c r="L45" s="60">
        <v>303.8</v>
      </c>
      <c r="M45" s="60">
        <v>298.89999999999998</v>
      </c>
      <c r="N45" s="60">
        <v>240.6</v>
      </c>
      <c r="O45" s="26"/>
    </row>
    <row r="46" spans="1:15">
      <c r="A46" t="s">
        <v>313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26"/>
    </row>
    <row r="47" spans="1:15">
      <c r="A47" t="s">
        <v>389</v>
      </c>
      <c r="B47" t="s">
        <v>301</v>
      </c>
      <c r="C47" s="60">
        <v>314.3</v>
      </c>
      <c r="D47" s="60">
        <v>319.2</v>
      </c>
      <c r="E47" s="60">
        <v>320.5</v>
      </c>
      <c r="F47" s="60">
        <v>313.3</v>
      </c>
      <c r="G47" s="60">
        <v>318</v>
      </c>
      <c r="H47" s="60">
        <v>319</v>
      </c>
      <c r="I47" s="60">
        <v>319.5</v>
      </c>
      <c r="J47" s="60">
        <v>319.2</v>
      </c>
      <c r="K47" s="60">
        <v>326.2</v>
      </c>
      <c r="L47" s="60">
        <v>323</v>
      </c>
      <c r="M47" s="60">
        <v>310.89999999999998</v>
      </c>
      <c r="N47" s="60">
        <v>315.60000000000002</v>
      </c>
      <c r="O47" s="26"/>
    </row>
    <row r="48" spans="1:15">
      <c r="A48" t="s">
        <v>450</v>
      </c>
      <c r="B48" t="s">
        <v>301</v>
      </c>
      <c r="C48" s="60">
        <v>260.3</v>
      </c>
      <c r="D48" s="60">
        <v>256</v>
      </c>
      <c r="E48" s="60">
        <v>251</v>
      </c>
      <c r="F48" s="60">
        <v>260.60000000000002</v>
      </c>
      <c r="G48" s="60">
        <v>259.2</v>
      </c>
      <c r="H48" s="60">
        <v>259.3</v>
      </c>
      <c r="I48" s="60">
        <v>258.60000000000002</v>
      </c>
      <c r="J48" s="60">
        <v>258</v>
      </c>
      <c r="K48" s="60">
        <v>255.5</v>
      </c>
      <c r="L48" s="60">
        <v>252.2</v>
      </c>
      <c r="M48" s="60">
        <v>251.3</v>
      </c>
      <c r="N48" s="60">
        <v>251.1</v>
      </c>
      <c r="O48" s="26"/>
    </row>
    <row r="49" spans="1:14">
      <c r="A49" t="s">
        <v>388</v>
      </c>
      <c r="B49" t="s">
        <v>301</v>
      </c>
      <c r="C49" s="60">
        <v>256.5</v>
      </c>
      <c r="D49" s="60">
        <v>256.8</v>
      </c>
      <c r="E49" s="60">
        <v>279.7</v>
      </c>
      <c r="F49" s="60">
        <v>277.5</v>
      </c>
      <c r="G49" s="60">
        <v>272.3</v>
      </c>
      <c r="H49" s="60">
        <v>269.7</v>
      </c>
      <c r="I49" s="60">
        <v>256.39999999999998</v>
      </c>
      <c r="J49" s="60">
        <v>248.7</v>
      </c>
      <c r="K49" s="60">
        <v>231.6</v>
      </c>
      <c r="L49" s="60">
        <v>226.9</v>
      </c>
      <c r="M49" s="60">
        <v>232.1</v>
      </c>
      <c r="N49" s="60">
        <v>225.3</v>
      </c>
    </row>
    <row r="50" spans="1:14">
      <c r="A50" s="1" t="s">
        <v>436</v>
      </c>
      <c r="B50" s="1" t="s">
        <v>437</v>
      </c>
      <c r="C50" s="130">
        <v>147.30000000000001</v>
      </c>
      <c r="D50" s="130">
        <v>147.30000000000001</v>
      </c>
      <c r="E50" s="130">
        <v>147.30000000000001</v>
      </c>
      <c r="F50" s="130">
        <v>147.30000000000001</v>
      </c>
      <c r="G50" s="130">
        <v>147.30000000000001</v>
      </c>
      <c r="H50" s="130">
        <v>147.30000000000001</v>
      </c>
      <c r="I50" s="130">
        <v>147.30000000000001</v>
      </c>
      <c r="J50" s="130">
        <v>147.30000000000001</v>
      </c>
      <c r="K50" s="130">
        <v>147.30000000000001</v>
      </c>
      <c r="L50" s="130">
        <v>135.80000000000001</v>
      </c>
      <c r="M50" s="130">
        <v>135.80000000000001</v>
      </c>
      <c r="N50" s="130">
        <v>135.80000000000001</v>
      </c>
    </row>
    <row r="51" spans="1:14">
      <c r="A51" s="107" t="s">
        <v>435</v>
      </c>
      <c r="N51" s="134"/>
    </row>
    <row r="52" spans="1:14" ht="10.199999999999999" customHeight="1">
      <c r="A52" s="107" t="s">
        <v>537</v>
      </c>
      <c r="M52" s="58"/>
    </row>
    <row r="53" spans="1:14">
      <c r="A53" s="107" t="s">
        <v>538</v>
      </c>
      <c r="K53" s="139"/>
      <c r="M53" s="145"/>
      <c r="N53" s="278" t="s">
        <v>679</v>
      </c>
    </row>
  </sheetData>
  <phoneticPr fontId="0" type="noConversion"/>
  <pageMargins left="0.7" right="0.7" top="0.75" bottom="0.75" header="0.3" footer="0.3"/>
  <pageSetup scale="87" firstPageNumber="65" orientation="landscape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53"/>
  <sheetViews>
    <sheetView zoomScaleNormal="100" zoomScaleSheetLayoutView="90" workbookViewId="0">
      <selection activeCell="A105" sqref="A105"/>
    </sheetView>
  </sheetViews>
  <sheetFormatPr defaultRowHeight="10.199999999999999"/>
  <cols>
    <col min="1" max="1" width="50.7109375" customWidth="1"/>
    <col min="2" max="2" width="9.7109375" customWidth="1"/>
    <col min="3" max="14" width="9.85546875" customWidth="1"/>
  </cols>
  <sheetData>
    <row r="1" spans="1:14">
      <c r="A1" s="1" t="s">
        <v>650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C2" s="279"/>
      <c r="D2" s="279"/>
      <c r="E2" s="279"/>
      <c r="F2" s="279"/>
      <c r="G2" s="279"/>
      <c r="H2" s="297">
        <v>2015</v>
      </c>
      <c r="I2" s="279"/>
      <c r="J2" s="279"/>
      <c r="K2" s="279"/>
      <c r="L2" s="279"/>
      <c r="M2" s="279"/>
      <c r="N2" s="279"/>
    </row>
    <row r="3" spans="1:14">
      <c r="A3" s="1" t="s">
        <v>288</v>
      </c>
      <c r="B3" s="9" t="s">
        <v>314</v>
      </c>
      <c r="C3" s="184" t="s">
        <v>155</v>
      </c>
      <c r="D3" s="184" t="s">
        <v>156</v>
      </c>
      <c r="E3" s="184" t="s">
        <v>157</v>
      </c>
      <c r="F3" s="184" t="s">
        <v>158</v>
      </c>
      <c r="G3" s="184" t="s">
        <v>148</v>
      </c>
      <c r="H3" s="184" t="s">
        <v>149</v>
      </c>
      <c r="I3" s="184" t="s">
        <v>150</v>
      </c>
      <c r="J3" s="184" t="s">
        <v>159</v>
      </c>
      <c r="K3" s="184" t="s">
        <v>160</v>
      </c>
      <c r="L3" s="184" t="s">
        <v>152</v>
      </c>
      <c r="M3" s="184" t="s">
        <v>153</v>
      </c>
      <c r="N3" s="184" t="s">
        <v>154</v>
      </c>
    </row>
    <row r="4" spans="1:14">
      <c r="A4" t="s">
        <v>289</v>
      </c>
    </row>
    <row r="5" spans="1:14">
      <c r="A5" t="s">
        <v>290</v>
      </c>
    </row>
    <row r="6" spans="1:14">
      <c r="A6" t="s">
        <v>402</v>
      </c>
      <c r="B6" t="s">
        <v>297</v>
      </c>
      <c r="C6" s="192">
        <v>17.8</v>
      </c>
      <c r="D6" s="192">
        <v>17.2</v>
      </c>
      <c r="E6" s="192">
        <v>16.600000000000001</v>
      </c>
      <c r="F6" s="192">
        <v>16.3</v>
      </c>
      <c r="G6" s="192">
        <v>16.7</v>
      </c>
      <c r="H6" s="192">
        <v>17.8</v>
      </c>
      <c r="I6" s="192">
        <v>18.100000000000001</v>
      </c>
      <c r="J6" s="192">
        <v>15.6</v>
      </c>
      <c r="K6" s="192">
        <v>15.1</v>
      </c>
      <c r="L6" s="192">
        <v>14.8</v>
      </c>
      <c r="M6" s="192">
        <v>15.1</v>
      </c>
      <c r="N6" s="192">
        <v>14.9</v>
      </c>
    </row>
    <row r="7" spans="1:14">
      <c r="A7" t="s">
        <v>291</v>
      </c>
      <c r="B7" t="s">
        <v>287</v>
      </c>
      <c r="C7" s="192">
        <v>194</v>
      </c>
      <c r="D7" s="192">
        <v>196</v>
      </c>
      <c r="E7" s="197" t="s">
        <v>315</v>
      </c>
      <c r="F7" s="197" t="s">
        <v>315</v>
      </c>
      <c r="G7" s="197" t="s">
        <v>315</v>
      </c>
      <c r="H7" s="197" t="s">
        <v>315</v>
      </c>
      <c r="I7" s="197" t="s">
        <v>315</v>
      </c>
      <c r="J7" s="192">
        <v>192</v>
      </c>
      <c r="K7" s="192">
        <v>203</v>
      </c>
      <c r="L7" s="192">
        <v>235</v>
      </c>
      <c r="M7" s="192">
        <v>233</v>
      </c>
      <c r="N7" s="192">
        <v>217</v>
      </c>
    </row>
    <row r="8" spans="1:14">
      <c r="A8" t="s">
        <v>292</v>
      </c>
      <c r="B8" t="s">
        <v>293</v>
      </c>
      <c r="C8" s="192">
        <v>11.7</v>
      </c>
      <c r="D8" s="192">
        <v>11.5</v>
      </c>
      <c r="E8" s="192">
        <v>11.5</v>
      </c>
      <c r="F8" s="192">
        <v>12</v>
      </c>
      <c r="G8" s="192">
        <v>12.1</v>
      </c>
      <c r="H8" s="192">
        <v>11.4</v>
      </c>
      <c r="I8" s="192">
        <v>11.5</v>
      </c>
      <c r="J8" s="192">
        <v>10</v>
      </c>
      <c r="K8" s="192">
        <v>9.08</v>
      </c>
      <c r="L8" s="192">
        <v>8.57</v>
      </c>
      <c r="M8" s="192">
        <v>8.7100000000000009</v>
      </c>
      <c r="N8" s="192">
        <v>8.6199999999999992</v>
      </c>
    </row>
    <row r="9" spans="1:14">
      <c r="A9" t="s">
        <v>294</v>
      </c>
      <c r="B9" t="s">
        <v>295</v>
      </c>
      <c r="C9" s="192">
        <v>22.5</v>
      </c>
      <c r="D9" s="192">
        <v>22.2</v>
      </c>
      <c r="E9" s="192">
        <v>22.5</v>
      </c>
      <c r="F9" s="192">
        <v>22.1</v>
      </c>
      <c r="G9" s="192">
        <v>22.5</v>
      </c>
      <c r="H9" s="192">
        <v>21.8</v>
      </c>
      <c r="I9" s="192">
        <v>23</v>
      </c>
      <c r="J9" s="192">
        <v>20.7</v>
      </c>
      <c r="K9" s="192">
        <v>19.600000000000001</v>
      </c>
      <c r="L9" s="192">
        <v>18.8</v>
      </c>
      <c r="M9" s="192">
        <v>18.5</v>
      </c>
      <c r="N9" s="192">
        <v>17.8</v>
      </c>
    </row>
    <row r="10" spans="1:14">
      <c r="A10" t="s">
        <v>296</v>
      </c>
      <c r="B10" t="s">
        <v>293</v>
      </c>
      <c r="C10" s="192">
        <v>10.3</v>
      </c>
      <c r="D10" s="192">
        <v>9.91</v>
      </c>
      <c r="E10" s="192">
        <v>9.85</v>
      </c>
      <c r="F10" s="192">
        <v>9.69</v>
      </c>
      <c r="G10" s="192">
        <v>9.58</v>
      </c>
      <c r="H10" s="192">
        <v>9.58</v>
      </c>
      <c r="I10" s="192">
        <v>9.9499999999999993</v>
      </c>
      <c r="J10" s="192">
        <v>9.7100000000000009</v>
      </c>
      <c r="K10" s="192">
        <v>9.0500000000000007</v>
      </c>
      <c r="L10" s="192">
        <v>8.81</v>
      </c>
      <c r="M10" s="192">
        <v>8.68</v>
      </c>
      <c r="N10" s="192">
        <v>8.76</v>
      </c>
    </row>
    <row r="11" spans="1:14">
      <c r="A11" t="s">
        <v>507</v>
      </c>
      <c r="B11" t="s">
        <v>297</v>
      </c>
      <c r="C11" s="192">
        <v>19.100000000000001</v>
      </c>
      <c r="D11" s="192">
        <v>21.5</v>
      </c>
      <c r="E11" s="192">
        <v>22.5</v>
      </c>
      <c r="F11" s="192">
        <v>23.2</v>
      </c>
      <c r="G11" s="192">
        <v>26.4</v>
      </c>
      <c r="H11" s="192">
        <v>25.4</v>
      </c>
      <c r="I11" s="192">
        <v>26.4</v>
      </c>
      <c r="J11" s="192">
        <v>24.2</v>
      </c>
      <c r="K11" s="192">
        <v>25.1</v>
      </c>
      <c r="L11" s="192">
        <v>18.399999999999999</v>
      </c>
      <c r="M11" s="192">
        <v>18.3</v>
      </c>
      <c r="N11" s="192">
        <v>19.3</v>
      </c>
    </row>
    <row r="12" spans="1:14">
      <c r="A12" t="s">
        <v>508</v>
      </c>
      <c r="B12" t="s">
        <v>297</v>
      </c>
      <c r="C12" s="192">
        <v>18.899999999999999</v>
      </c>
      <c r="D12" s="192">
        <v>19.399999999999999</v>
      </c>
      <c r="E12" s="192">
        <v>20.100000000000001</v>
      </c>
      <c r="F12" s="192">
        <v>21.4</v>
      </c>
      <c r="G12" s="192">
        <v>23.3</v>
      </c>
      <c r="H12" s="192">
        <v>23</v>
      </c>
      <c r="I12" s="192">
        <v>21.8</v>
      </c>
      <c r="J12" s="192">
        <v>21.3</v>
      </c>
      <c r="K12" s="192">
        <v>25.2</v>
      </c>
      <c r="L12" s="192">
        <v>17.5</v>
      </c>
      <c r="M12" s="192">
        <v>17.3</v>
      </c>
      <c r="N12" s="192">
        <v>17.5</v>
      </c>
    </row>
    <row r="13" spans="1:14">
      <c r="A13" t="s">
        <v>509</v>
      </c>
      <c r="B13" t="s">
        <v>297</v>
      </c>
      <c r="C13" s="192">
        <v>25.8</v>
      </c>
      <c r="D13" s="192">
        <v>31.9</v>
      </c>
      <c r="E13" s="192">
        <v>32</v>
      </c>
      <c r="F13" s="192">
        <v>31</v>
      </c>
      <c r="G13" s="192">
        <v>31.4</v>
      </c>
      <c r="H13" s="192">
        <v>29.6</v>
      </c>
      <c r="I13" s="192">
        <v>31.6</v>
      </c>
      <c r="J13" s="192">
        <v>29.1</v>
      </c>
      <c r="K13" s="192">
        <v>24.7</v>
      </c>
      <c r="L13" s="192">
        <v>27.2</v>
      </c>
      <c r="M13" s="192">
        <v>25.8</v>
      </c>
      <c r="N13" s="192">
        <v>28.4</v>
      </c>
    </row>
    <row r="14" spans="1:14">
      <c r="A14" t="s">
        <v>409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>
      <c r="A15" t="s">
        <v>407</v>
      </c>
      <c r="B15" t="s">
        <v>297</v>
      </c>
      <c r="C15" s="192">
        <v>17.05</v>
      </c>
      <c r="D15" s="192">
        <v>16.45</v>
      </c>
      <c r="E15" s="192">
        <v>16.12</v>
      </c>
      <c r="F15" s="192">
        <v>16.05</v>
      </c>
      <c r="G15" s="192">
        <v>16.809999999999999</v>
      </c>
      <c r="H15" s="192">
        <v>17.989999999999998</v>
      </c>
      <c r="I15" s="192">
        <v>17.14</v>
      </c>
      <c r="J15" s="192">
        <v>15.58</v>
      </c>
      <c r="K15" s="192">
        <v>14.06</v>
      </c>
      <c r="L15" s="192">
        <v>14.52</v>
      </c>
      <c r="M15" s="192">
        <v>14.35</v>
      </c>
      <c r="N15" s="192">
        <v>14.85</v>
      </c>
    </row>
    <row r="16" spans="1:14">
      <c r="A16" t="s">
        <v>408</v>
      </c>
      <c r="B16" t="s">
        <v>287</v>
      </c>
      <c r="C16" s="192">
        <v>263.25</v>
      </c>
      <c r="D16" s="192">
        <v>266.5</v>
      </c>
      <c r="E16" s="192">
        <v>277</v>
      </c>
      <c r="F16" s="192">
        <v>270</v>
      </c>
      <c r="G16" s="192">
        <v>297.5</v>
      </c>
      <c r="H16" s="192">
        <v>308.39999999999998</v>
      </c>
      <c r="I16" s="192">
        <v>315</v>
      </c>
      <c r="J16" s="192">
        <v>300.5</v>
      </c>
      <c r="K16" s="192">
        <v>288.75</v>
      </c>
      <c r="L16" s="192">
        <v>276.25</v>
      </c>
      <c r="M16" s="192">
        <v>280</v>
      </c>
      <c r="N16" s="192">
        <v>285</v>
      </c>
    </row>
    <row r="17" spans="1:14">
      <c r="A17" t="s">
        <v>414</v>
      </c>
      <c r="B17" t="s">
        <v>293</v>
      </c>
      <c r="C17" s="192">
        <v>12.75</v>
      </c>
      <c r="D17" s="192">
        <v>12.75</v>
      </c>
      <c r="E17" s="192">
        <v>12.75</v>
      </c>
      <c r="F17" s="192">
        <v>12.59</v>
      </c>
      <c r="G17" s="192">
        <v>12.45</v>
      </c>
      <c r="H17" s="192">
        <v>12.07</v>
      </c>
      <c r="I17" s="192">
        <v>11.75</v>
      </c>
      <c r="J17" s="192">
        <v>11.15</v>
      </c>
      <c r="K17" s="192">
        <v>9.58</v>
      </c>
      <c r="L17" s="192">
        <v>9.2100000000000009</v>
      </c>
      <c r="M17" s="192">
        <v>9.4</v>
      </c>
      <c r="N17" s="192">
        <v>9.27</v>
      </c>
    </row>
    <row r="18" spans="1:14">
      <c r="A18" t="s">
        <v>406</v>
      </c>
      <c r="B18" t="s">
        <v>293</v>
      </c>
      <c r="C18" s="192">
        <v>9.8800000000000008</v>
      </c>
      <c r="D18" s="192">
        <v>10.039999999999999</v>
      </c>
      <c r="E18" s="192">
        <v>9.68</v>
      </c>
      <c r="F18" s="192">
        <v>9.6199999999999992</v>
      </c>
      <c r="G18" s="192">
        <v>9.49</v>
      </c>
      <c r="H18" s="192">
        <v>9.6300000000000008</v>
      </c>
      <c r="I18" s="192">
        <v>10.11</v>
      </c>
      <c r="J18" s="192">
        <v>9.48</v>
      </c>
      <c r="K18" s="192">
        <v>8.6199999999999992</v>
      </c>
      <c r="L18" s="192">
        <v>8.7100000000000009</v>
      </c>
      <c r="M18" s="192">
        <v>8.6</v>
      </c>
      <c r="N18" s="192">
        <v>8.73</v>
      </c>
    </row>
    <row r="19" spans="1:14">
      <c r="A19" t="s">
        <v>405</v>
      </c>
      <c r="B19" t="s">
        <v>293</v>
      </c>
      <c r="C19" s="192">
        <v>10.84</v>
      </c>
      <c r="D19" s="192">
        <v>10.74</v>
      </c>
      <c r="E19" s="192">
        <v>10.52</v>
      </c>
      <c r="F19" s="192">
        <v>10.45</v>
      </c>
      <c r="G19" s="192">
        <v>10.37</v>
      </c>
      <c r="H19" s="192">
        <v>10.48</v>
      </c>
      <c r="I19" s="192">
        <v>10.92</v>
      </c>
      <c r="J19" s="192">
        <v>10</v>
      </c>
      <c r="K19" s="191">
        <v>9.69</v>
      </c>
      <c r="L19" s="191">
        <v>9.68</v>
      </c>
      <c r="M19" s="191">
        <v>9.34</v>
      </c>
      <c r="N19" s="191">
        <v>9.44</v>
      </c>
    </row>
    <row r="20" spans="1:14">
      <c r="A20" t="s">
        <v>410</v>
      </c>
      <c r="B20" t="s">
        <v>297</v>
      </c>
      <c r="C20" s="192">
        <v>19.05</v>
      </c>
      <c r="D20" s="192">
        <v>19.100000000000001</v>
      </c>
      <c r="E20" s="192">
        <v>19.239999999999998</v>
      </c>
      <c r="F20" s="192">
        <v>19.82</v>
      </c>
      <c r="G20" s="192">
        <v>21.03</v>
      </c>
      <c r="H20" s="192">
        <v>22.01</v>
      </c>
      <c r="I20" s="192">
        <v>22.95</v>
      </c>
      <c r="J20" s="192">
        <v>19.55</v>
      </c>
      <c r="K20" s="191">
        <v>16.71</v>
      </c>
      <c r="L20" s="191">
        <v>16.739999999999998</v>
      </c>
      <c r="M20" s="191">
        <v>16.59</v>
      </c>
      <c r="N20" s="191">
        <v>16.95</v>
      </c>
    </row>
    <row r="21" spans="1:14">
      <c r="A21" t="s">
        <v>298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>
      <c r="A22" t="s">
        <v>299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>
      <c r="A23" t="s">
        <v>357</v>
      </c>
      <c r="B23" t="s">
        <v>295</v>
      </c>
      <c r="C23" s="192">
        <v>38.799999999999997</v>
      </c>
      <c r="D23" s="192">
        <v>38.94</v>
      </c>
      <c r="E23" s="192">
        <v>35.69</v>
      </c>
      <c r="F23" s="192">
        <v>37.19</v>
      </c>
      <c r="G23" s="192">
        <v>38.549999999999997</v>
      </c>
      <c r="H23" s="192">
        <v>40.19</v>
      </c>
      <c r="I23" s="192">
        <v>38.299999999999997</v>
      </c>
      <c r="J23" s="192">
        <v>35.130000000000003</v>
      </c>
      <c r="K23" s="192">
        <v>33.31</v>
      </c>
      <c r="L23" s="192">
        <v>34.200000000000003</v>
      </c>
      <c r="M23" s="192">
        <v>33.630000000000003</v>
      </c>
      <c r="N23" s="192">
        <v>36.5</v>
      </c>
    </row>
    <row r="24" spans="1:14">
      <c r="A24" t="s">
        <v>300</v>
      </c>
      <c r="B24" t="s">
        <v>301</v>
      </c>
      <c r="C24" s="192">
        <v>56.3</v>
      </c>
      <c r="D24" s="192">
        <v>54.94</v>
      </c>
      <c r="E24" s="192">
        <v>52.94</v>
      </c>
      <c r="F24" s="192">
        <v>49.5</v>
      </c>
      <c r="G24" s="192">
        <v>52.25</v>
      </c>
      <c r="H24" s="192">
        <v>53.19</v>
      </c>
      <c r="I24" s="192">
        <v>52.3</v>
      </c>
      <c r="J24" s="192">
        <v>51.56</v>
      </c>
      <c r="K24" s="192">
        <v>50.75</v>
      </c>
      <c r="L24" s="192">
        <v>51.05</v>
      </c>
      <c r="M24" s="192">
        <v>50.31</v>
      </c>
      <c r="N24" s="192">
        <v>52.2</v>
      </c>
    </row>
    <row r="25" spans="1:14">
      <c r="A25" t="s">
        <v>466</v>
      </c>
      <c r="B25" t="s">
        <v>301</v>
      </c>
      <c r="C25" s="192">
        <v>34.86</v>
      </c>
      <c r="D25" s="192">
        <v>36.130000000000003</v>
      </c>
      <c r="E25" s="192">
        <v>37.729999999999997</v>
      </c>
      <c r="F25" s="192">
        <v>39.270000000000003</v>
      </c>
      <c r="G25" s="192">
        <v>39.5</v>
      </c>
      <c r="H25" s="192">
        <v>40.340000000000003</v>
      </c>
      <c r="I25" s="192">
        <v>41.49</v>
      </c>
      <c r="J25" s="192">
        <v>40.75</v>
      </c>
      <c r="K25" s="192">
        <v>37.549999999999997</v>
      </c>
      <c r="L25" s="192">
        <v>36.6</v>
      </c>
      <c r="M25" s="191">
        <v>36.43</v>
      </c>
      <c r="N25" s="191">
        <v>38.25</v>
      </c>
    </row>
    <row r="26" spans="1:14">
      <c r="A26" t="s">
        <v>460</v>
      </c>
      <c r="B26" t="s">
        <v>301</v>
      </c>
      <c r="C26" s="192">
        <v>27.68</v>
      </c>
      <c r="D26" s="192">
        <v>26.43</v>
      </c>
      <c r="E26" s="192">
        <v>28.13</v>
      </c>
      <c r="F26" s="192">
        <v>26.66</v>
      </c>
      <c r="G26" s="192">
        <v>24.87</v>
      </c>
      <c r="H26" s="192">
        <v>28.38</v>
      </c>
      <c r="I26" s="192">
        <v>25.27</v>
      </c>
      <c r="J26" s="192">
        <v>23.56</v>
      </c>
      <c r="K26" s="192">
        <v>22.63</v>
      </c>
      <c r="L26" s="192">
        <v>23.12</v>
      </c>
      <c r="M26" s="192">
        <v>23.4</v>
      </c>
      <c r="N26" s="192">
        <v>22.08</v>
      </c>
    </row>
    <row r="27" spans="1:14">
      <c r="A27" t="s">
        <v>303</v>
      </c>
      <c r="B27" t="s">
        <v>301</v>
      </c>
      <c r="C27" s="192">
        <v>44.95</v>
      </c>
      <c r="D27" s="192">
        <v>48.81</v>
      </c>
      <c r="E27" s="192">
        <v>46.06</v>
      </c>
      <c r="F27" s="192">
        <v>48.19</v>
      </c>
      <c r="G27" s="192">
        <v>48.9</v>
      </c>
      <c r="H27" s="192">
        <v>49.94</v>
      </c>
      <c r="I27" s="192">
        <v>49.15</v>
      </c>
      <c r="J27" s="192">
        <v>46.25</v>
      </c>
      <c r="K27" s="192">
        <v>44.13</v>
      </c>
      <c r="L27" s="192">
        <v>44.25</v>
      </c>
      <c r="M27" s="192">
        <v>45.19</v>
      </c>
      <c r="N27" s="192">
        <v>48.35</v>
      </c>
    </row>
    <row r="28" spans="1:14">
      <c r="A28" t="s">
        <v>361</v>
      </c>
      <c r="B28" t="s">
        <v>301</v>
      </c>
      <c r="C28" s="192">
        <v>29.5</v>
      </c>
      <c r="D28" s="192">
        <v>28</v>
      </c>
      <c r="E28" s="197" t="s">
        <v>497</v>
      </c>
      <c r="F28" s="192">
        <v>26.64</v>
      </c>
      <c r="G28" s="192">
        <v>28</v>
      </c>
      <c r="H28" s="197" t="s">
        <v>315</v>
      </c>
      <c r="I28" s="197">
        <v>31</v>
      </c>
      <c r="J28" s="192">
        <v>31</v>
      </c>
      <c r="K28" s="197" t="s">
        <v>315</v>
      </c>
      <c r="L28" s="192">
        <v>34.229999999999997</v>
      </c>
      <c r="M28" s="192">
        <v>35.5</v>
      </c>
      <c r="N28" s="192">
        <v>28.8</v>
      </c>
    </row>
    <row r="29" spans="1:14">
      <c r="A29" t="s">
        <v>304</v>
      </c>
      <c r="B29" t="s">
        <v>301</v>
      </c>
      <c r="C29" s="192">
        <v>36.049999999999997</v>
      </c>
      <c r="D29" s="192">
        <v>34.880000000000003</v>
      </c>
      <c r="E29" s="192">
        <v>34.5</v>
      </c>
      <c r="F29" s="192">
        <v>32.380000000000003</v>
      </c>
      <c r="G29" s="192">
        <v>33.049999999999997</v>
      </c>
      <c r="H29" s="192">
        <v>33.19</v>
      </c>
      <c r="I29" s="192">
        <v>32.15</v>
      </c>
      <c r="J29" s="192">
        <v>29.88</v>
      </c>
      <c r="K29" s="192">
        <v>29.25</v>
      </c>
      <c r="L29" s="192">
        <v>30.75</v>
      </c>
      <c r="M29" s="192">
        <v>29.5</v>
      </c>
      <c r="N29" s="192">
        <v>29.6</v>
      </c>
    </row>
    <row r="30" spans="1:14">
      <c r="A30" t="s">
        <v>423</v>
      </c>
      <c r="B30" t="s">
        <v>301</v>
      </c>
      <c r="C30" s="192">
        <v>41</v>
      </c>
      <c r="D30" s="192">
        <v>49.06</v>
      </c>
      <c r="E30" s="192">
        <v>55.31</v>
      </c>
      <c r="F30" s="192">
        <v>43.31</v>
      </c>
      <c r="G30" s="192">
        <v>37.549999999999997</v>
      </c>
      <c r="H30" s="192">
        <v>37</v>
      </c>
      <c r="I30" s="192">
        <v>37.6</v>
      </c>
      <c r="J30" s="192">
        <v>36.25</v>
      </c>
      <c r="K30" s="192">
        <v>36.130000000000003</v>
      </c>
      <c r="L30" s="192">
        <v>36.450000000000003</v>
      </c>
      <c r="M30" s="192">
        <v>36.06</v>
      </c>
      <c r="N30" s="192">
        <v>37.9</v>
      </c>
    </row>
    <row r="31" spans="1:14">
      <c r="A31" t="s">
        <v>305</v>
      </c>
      <c r="B31" t="s">
        <v>301</v>
      </c>
      <c r="C31" s="192">
        <v>56.15</v>
      </c>
      <c r="D31" s="192">
        <v>55.56</v>
      </c>
      <c r="E31" s="192">
        <v>54.69</v>
      </c>
      <c r="F31" s="192">
        <v>54.81</v>
      </c>
      <c r="G31" s="192">
        <v>54.65</v>
      </c>
      <c r="H31" s="192">
        <v>56.31</v>
      </c>
      <c r="I31" s="192">
        <v>58.15</v>
      </c>
      <c r="J31" s="192">
        <v>58.63</v>
      </c>
      <c r="K31" s="192">
        <v>58.69</v>
      </c>
      <c r="L31" s="192">
        <v>57.7</v>
      </c>
      <c r="M31" s="192">
        <v>58.06</v>
      </c>
      <c r="N31" s="192">
        <v>58.5</v>
      </c>
    </row>
    <row r="32" spans="1:14">
      <c r="A32" s="191" t="s">
        <v>306</v>
      </c>
      <c r="B32" s="191" t="s">
        <v>301</v>
      </c>
      <c r="C32" s="192">
        <v>32.33</v>
      </c>
      <c r="D32" s="192">
        <v>31.57</v>
      </c>
      <c r="E32" s="192">
        <v>30.89</v>
      </c>
      <c r="F32" s="192">
        <v>31.13</v>
      </c>
      <c r="G32" s="192">
        <v>32.65</v>
      </c>
      <c r="H32" s="192">
        <v>33.729999999999997</v>
      </c>
      <c r="I32" s="192">
        <v>31.54</v>
      </c>
      <c r="J32" s="192">
        <v>28.87</v>
      </c>
      <c r="K32" s="192">
        <v>26.43</v>
      </c>
      <c r="L32" s="192">
        <v>27.14</v>
      </c>
      <c r="M32" s="191">
        <v>26.42</v>
      </c>
      <c r="N32" s="191">
        <v>29.72</v>
      </c>
    </row>
    <row r="33" spans="1:15">
      <c r="A33" t="s">
        <v>307</v>
      </c>
      <c r="B33" t="s">
        <v>301</v>
      </c>
      <c r="C33" s="192">
        <v>63</v>
      </c>
      <c r="D33" s="192">
        <v>65.63</v>
      </c>
      <c r="E33" s="192">
        <v>65.56</v>
      </c>
      <c r="F33" s="192">
        <v>65.5</v>
      </c>
      <c r="G33" s="192">
        <v>65</v>
      </c>
      <c r="H33" s="192">
        <v>69.75</v>
      </c>
      <c r="I33" s="192">
        <v>73.400000000000006</v>
      </c>
      <c r="J33" s="192">
        <v>75</v>
      </c>
      <c r="K33" s="192">
        <v>75</v>
      </c>
      <c r="L33" s="192">
        <v>72</v>
      </c>
      <c r="M33" s="192">
        <v>64.5</v>
      </c>
      <c r="N33" s="192">
        <v>62</v>
      </c>
    </row>
    <row r="34" spans="1:15">
      <c r="A34" t="s">
        <v>359</v>
      </c>
      <c r="B34" t="s">
        <v>301</v>
      </c>
      <c r="C34" s="192">
        <v>31.2</v>
      </c>
      <c r="D34" s="192">
        <v>31.38</v>
      </c>
      <c r="E34" s="192">
        <v>32.299999999999997</v>
      </c>
      <c r="F34" s="192">
        <v>28.58</v>
      </c>
      <c r="G34" s="192">
        <v>31.32</v>
      </c>
      <c r="H34" s="192">
        <v>32.04</v>
      </c>
      <c r="I34" s="192">
        <v>29.75</v>
      </c>
      <c r="J34" s="192">
        <v>30.14</v>
      </c>
      <c r="K34" s="192">
        <v>28.1</v>
      </c>
      <c r="L34" s="192">
        <v>24.61</v>
      </c>
      <c r="M34" s="192">
        <v>21.1</v>
      </c>
      <c r="N34" s="192">
        <v>20.5</v>
      </c>
    </row>
    <row r="35" spans="1:15">
      <c r="A35" s="107" t="s">
        <v>422</v>
      </c>
      <c r="B35" t="s">
        <v>301</v>
      </c>
      <c r="C35" s="192">
        <v>25.47</v>
      </c>
      <c r="D35" s="192">
        <v>25.25</v>
      </c>
      <c r="E35" s="192">
        <v>25.35</v>
      </c>
      <c r="F35" s="192">
        <v>23.16</v>
      </c>
      <c r="G35" s="192">
        <v>23.16</v>
      </c>
      <c r="H35" s="192">
        <v>25.18</v>
      </c>
      <c r="I35" s="192">
        <v>24.88</v>
      </c>
      <c r="J35" s="192">
        <v>23.19</v>
      </c>
      <c r="K35" s="192">
        <v>20.8</v>
      </c>
      <c r="L35" s="192">
        <v>18.440000000000001</v>
      </c>
      <c r="M35" s="192">
        <v>18.190000000000001</v>
      </c>
      <c r="N35" s="192">
        <v>18.09</v>
      </c>
      <c r="O35" s="57"/>
    </row>
    <row r="36" spans="1:15">
      <c r="A36" s="107" t="s">
        <v>418</v>
      </c>
      <c r="B36" s="107" t="s">
        <v>419</v>
      </c>
      <c r="C36" s="192">
        <v>2.9916666666666667</v>
      </c>
      <c r="D36" s="192">
        <v>2.94625</v>
      </c>
      <c r="E36" s="192">
        <v>2.89</v>
      </c>
      <c r="F36" s="192">
        <v>2.88375</v>
      </c>
      <c r="G36" s="192">
        <v>3.097</v>
      </c>
      <c r="H36" s="192">
        <v>3.2362500000000001</v>
      </c>
      <c r="I36" s="192">
        <v>3.0129999999999999</v>
      </c>
      <c r="J36" s="192">
        <v>2.6062500000000002</v>
      </c>
      <c r="K36" s="192">
        <v>2.5237500000000002</v>
      </c>
      <c r="L36" s="192">
        <v>2.5780000000000003</v>
      </c>
      <c r="M36" s="192">
        <v>2.585</v>
      </c>
      <c r="N36" s="192">
        <v>2.7524999999999999</v>
      </c>
      <c r="O36" s="57"/>
    </row>
    <row r="37" spans="1:15">
      <c r="A37" t="s">
        <v>308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</row>
    <row r="38" spans="1:15">
      <c r="A38" t="s">
        <v>358</v>
      </c>
      <c r="B38" t="s">
        <v>287</v>
      </c>
      <c r="C38" s="191">
        <v>311.56</v>
      </c>
      <c r="D38" s="191">
        <v>296.20999999999998</v>
      </c>
      <c r="E38" s="191">
        <v>279.54000000000002</v>
      </c>
      <c r="F38" s="191">
        <v>261.35000000000002</v>
      </c>
      <c r="G38" s="192">
        <v>274.60000000000002</v>
      </c>
      <c r="H38" s="191">
        <v>305.85000000000002</v>
      </c>
      <c r="I38" s="191">
        <v>328.03</v>
      </c>
      <c r="J38" s="191">
        <v>285.83</v>
      </c>
      <c r="K38" s="191">
        <v>264.01</v>
      </c>
      <c r="L38" s="191">
        <v>257.69</v>
      </c>
      <c r="M38" s="191">
        <v>248.98</v>
      </c>
      <c r="N38" s="191">
        <v>240.64</v>
      </c>
    </row>
    <row r="39" spans="1:15">
      <c r="A39" t="s">
        <v>309</v>
      </c>
      <c r="B39" t="s">
        <v>301</v>
      </c>
      <c r="C39" s="192">
        <v>313.75</v>
      </c>
      <c r="D39" s="192">
        <v>302.5</v>
      </c>
      <c r="E39" s="192">
        <v>310.5</v>
      </c>
      <c r="F39" s="192">
        <v>288.13</v>
      </c>
      <c r="G39" s="192">
        <v>274.38</v>
      </c>
      <c r="H39" s="192">
        <v>281</v>
      </c>
      <c r="I39" s="192">
        <v>299.38</v>
      </c>
      <c r="J39" s="192">
        <v>295.63</v>
      </c>
      <c r="K39" s="192">
        <v>293.5</v>
      </c>
      <c r="L39" s="192">
        <v>292.5</v>
      </c>
      <c r="M39" s="192">
        <v>291.88</v>
      </c>
      <c r="N39" s="192">
        <v>267.5</v>
      </c>
    </row>
    <row r="40" spans="1:15">
      <c r="A40" t="s">
        <v>338</v>
      </c>
      <c r="B40" t="s">
        <v>301</v>
      </c>
      <c r="C40" s="192">
        <v>250</v>
      </c>
      <c r="D40" s="192">
        <v>230.63</v>
      </c>
      <c r="E40" s="192">
        <v>230.5</v>
      </c>
      <c r="F40" s="192">
        <v>239.38</v>
      </c>
      <c r="G40" s="192">
        <v>256.88</v>
      </c>
      <c r="H40" s="192">
        <v>258</v>
      </c>
      <c r="I40" s="192">
        <v>284.38</v>
      </c>
      <c r="J40" s="192">
        <v>287.5</v>
      </c>
      <c r="K40" s="192">
        <v>256</v>
      </c>
      <c r="L40" s="192">
        <v>215</v>
      </c>
      <c r="M40" s="192">
        <v>209</v>
      </c>
      <c r="N40" s="192">
        <v>200</v>
      </c>
    </row>
    <row r="41" spans="1:15">
      <c r="A41" s="191" t="s">
        <v>339</v>
      </c>
      <c r="B41" s="191" t="s">
        <v>301</v>
      </c>
      <c r="C41" s="191">
        <v>380.03</v>
      </c>
      <c r="D41" s="191">
        <v>370.38</v>
      </c>
      <c r="E41" s="191">
        <v>357.83</v>
      </c>
      <c r="F41" s="191">
        <v>336.61</v>
      </c>
      <c r="G41" s="191">
        <v>320.23</v>
      </c>
      <c r="H41" s="191">
        <v>335.03</v>
      </c>
      <c r="I41" s="191">
        <v>375.71</v>
      </c>
      <c r="J41" s="191">
        <v>357.85</v>
      </c>
      <c r="K41" s="191">
        <v>333.62</v>
      </c>
      <c r="L41" s="191">
        <v>327.97</v>
      </c>
      <c r="M41" s="191">
        <v>308.60000000000002</v>
      </c>
      <c r="N41" s="191">
        <v>289.77999999999997</v>
      </c>
    </row>
    <row r="42" spans="1:15">
      <c r="A42" t="s">
        <v>416</v>
      </c>
      <c r="B42" t="s">
        <v>301</v>
      </c>
      <c r="C42" s="192">
        <v>247.5</v>
      </c>
      <c r="D42" s="192">
        <v>225.63</v>
      </c>
      <c r="E42" s="192">
        <v>202.5</v>
      </c>
      <c r="F42" s="192">
        <v>202.5</v>
      </c>
      <c r="G42" s="192">
        <v>192.5</v>
      </c>
      <c r="H42" s="192">
        <v>180.5</v>
      </c>
      <c r="I42" s="192">
        <v>214.38</v>
      </c>
      <c r="J42" s="192">
        <v>222.5</v>
      </c>
      <c r="K42" s="192">
        <v>216</v>
      </c>
      <c r="L42" s="192">
        <v>212.5</v>
      </c>
      <c r="M42" s="192">
        <v>187.5</v>
      </c>
      <c r="N42" s="192">
        <v>163.13</v>
      </c>
    </row>
    <row r="43" spans="1:15">
      <c r="A43" t="s">
        <v>415</v>
      </c>
      <c r="B43" t="s">
        <v>310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5">
      <c r="A44" t="s">
        <v>311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</row>
    <row r="45" spans="1:15">
      <c r="A45" t="s">
        <v>312</v>
      </c>
      <c r="B45" t="s">
        <v>301</v>
      </c>
      <c r="C45" s="193">
        <v>213.1</v>
      </c>
      <c r="D45" s="193">
        <v>181</v>
      </c>
      <c r="E45" s="193">
        <v>174</v>
      </c>
      <c r="F45" s="193">
        <v>169.4</v>
      </c>
      <c r="G45" s="193">
        <v>164.7</v>
      </c>
      <c r="H45" s="193">
        <v>170.8</v>
      </c>
      <c r="I45" s="193">
        <v>172</v>
      </c>
      <c r="J45" s="193">
        <v>179.8</v>
      </c>
      <c r="K45" s="193">
        <v>180.3</v>
      </c>
      <c r="L45" s="197" t="s">
        <v>315</v>
      </c>
      <c r="M45" s="197" t="s">
        <v>315</v>
      </c>
      <c r="N45" s="197" t="s">
        <v>315</v>
      </c>
    </row>
    <row r="46" spans="1:15">
      <c r="A46" t="s">
        <v>313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</row>
    <row r="47" spans="1:15">
      <c r="A47" t="s">
        <v>389</v>
      </c>
      <c r="B47" t="s">
        <v>301</v>
      </c>
      <c r="C47" s="193">
        <v>309.5</v>
      </c>
      <c r="D47" s="193">
        <v>306.5</v>
      </c>
      <c r="E47" s="193">
        <v>310.60000000000002</v>
      </c>
      <c r="F47" s="193">
        <v>310.3</v>
      </c>
      <c r="G47" s="193">
        <v>312.8</v>
      </c>
      <c r="H47" s="193">
        <v>313.89999999999998</v>
      </c>
      <c r="I47" s="193">
        <v>313.39999999999998</v>
      </c>
      <c r="J47" s="193">
        <v>319.8</v>
      </c>
      <c r="K47" s="193">
        <v>322.10000000000002</v>
      </c>
      <c r="L47" s="193">
        <v>321</v>
      </c>
      <c r="M47" s="193">
        <v>325.89999999999998</v>
      </c>
      <c r="N47" s="193">
        <v>322.60000000000002</v>
      </c>
    </row>
    <row r="48" spans="1:15">
      <c r="A48" t="s">
        <v>450</v>
      </c>
      <c r="B48" t="s">
        <v>301</v>
      </c>
      <c r="C48" s="193">
        <v>245.1</v>
      </c>
      <c r="D48" s="193">
        <v>245.7</v>
      </c>
      <c r="E48" s="193">
        <v>246</v>
      </c>
      <c r="F48" s="193">
        <v>243.6</v>
      </c>
      <c r="G48" s="193">
        <v>245.1</v>
      </c>
      <c r="H48" s="193">
        <v>245.6</v>
      </c>
      <c r="I48" s="193">
        <v>246.6</v>
      </c>
      <c r="J48" s="193">
        <v>243.2</v>
      </c>
      <c r="K48" s="193">
        <v>241.9</v>
      </c>
      <c r="L48" s="193">
        <v>239</v>
      </c>
      <c r="M48" s="193">
        <v>239.4</v>
      </c>
      <c r="N48" s="193">
        <v>238.2</v>
      </c>
    </row>
    <row r="49" spans="1:14">
      <c r="A49" t="s">
        <v>388</v>
      </c>
      <c r="B49" t="s">
        <v>301</v>
      </c>
      <c r="C49" s="193">
        <v>223.8</v>
      </c>
      <c r="D49" s="193">
        <v>218.1</v>
      </c>
      <c r="E49" s="193">
        <v>213.6</v>
      </c>
      <c r="F49" s="193">
        <v>215.3</v>
      </c>
      <c r="G49" s="193">
        <v>219.6</v>
      </c>
      <c r="H49" s="193">
        <v>223.3</v>
      </c>
      <c r="I49" s="193">
        <v>213.9</v>
      </c>
      <c r="J49" s="193">
        <v>204.3</v>
      </c>
      <c r="K49" s="193">
        <v>186.5</v>
      </c>
      <c r="L49" s="193">
        <v>180</v>
      </c>
      <c r="M49" s="193">
        <v>173.8</v>
      </c>
      <c r="N49" s="193">
        <v>186.4</v>
      </c>
    </row>
    <row r="50" spans="1:14">
      <c r="A50" s="1" t="s">
        <v>436</v>
      </c>
      <c r="B50" s="1" t="s">
        <v>437</v>
      </c>
      <c r="C50" s="198">
        <v>135.80000000000001</v>
      </c>
      <c r="D50" s="198">
        <v>135.80000000000001</v>
      </c>
      <c r="E50" s="198">
        <v>135.80000000000001</v>
      </c>
      <c r="F50" s="198">
        <v>135.80000000000001</v>
      </c>
      <c r="G50" s="198">
        <v>135.80000000000001</v>
      </c>
      <c r="H50" s="198">
        <v>135.80000000000001</v>
      </c>
      <c r="I50" s="198">
        <v>135.80000000000001</v>
      </c>
      <c r="J50" s="198">
        <v>135.80000000000001</v>
      </c>
      <c r="K50" s="198">
        <v>135.80000000000001</v>
      </c>
      <c r="L50" s="198">
        <v>135.80000000000001</v>
      </c>
      <c r="M50" s="198">
        <v>135.80000000000001</v>
      </c>
      <c r="N50" s="198">
        <v>135.80000000000001</v>
      </c>
    </row>
    <row r="51" spans="1:14">
      <c r="A51" s="107" t="s">
        <v>435</v>
      </c>
      <c r="N51" s="134"/>
    </row>
    <row r="52" spans="1:14">
      <c r="A52" s="107" t="s">
        <v>537</v>
      </c>
      <c r="M52" s="58"/>
    </row>
    <row r="53" spans="1:14" ht="10.199999999999999" customHeight="1">
      <c r="A53" s="107" t="s">
        <v>538</v>
      </c>
      <c r="K53" s="139"/>
      <c r="M53" s="145"/>
      <c r="N53" s="278" t="s">
        <v>679</v>
      </c>
    </row>
  </sheetData>
  <phoneticPr fontId="0" type="noConversion"/>
  <pageMargins left="0.7" right="0.7" top="0.75" bottom="0.75" header="0.3" footer="0.3"/>
  <pageSetup scale="87" firstPageNumber="66" orientation="landscape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53"/>
  <sheetViews>
    <sheetView topLeftCell="A2" zoomScaleNormal="100" zoomScaleSheetLayoutView="100" workbookViewId="0">
      <selection activeCell="A105" sqref="A105"/>
    </sheetView>
  </sheetViews>
  <sheetFormatPr defaultRowHeight="10.199999999999999"/>
  <cols>
    <col min="1" max="1" width="50.7109375" customWidth="1"/>
    <col min="2" max="14" width="9.7109375" customWidth="1"/>
  </cols>
  <sheetData>
    <row r="1" spans="1:14">
      <c r="A1" s="1" t="s">
        <v>650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C2" s="139"/>
      <c r="D2" s="279"/>
      <c r="E2" s="279"/>
      <c r="F2" s="279"/>
      <c r="G2" s="279"/>
      <c r="H2" s="297">
        <v>2016</v>
      </c>
      <c r="I2" s="279"/>
      <c r="J2" s="279"/>
      <c r="K2" s="279"/>
      <c r="L2" s="279"/>
      <c r="M2" s="279"/>
      <c r="N2" s="279"/>
    </row>
    <row r="3" spans="1:14">
      <c r="A3" s="1" t="s">
        <v>288</v>
      </c>
      <c r="B3" s="9" t="s">
        <v>314</v>
      </c>
      <c r="C3" s="184" t="s">
        <v>155</v>
      </c>
      <c r="D3" s="184" t="s">
        <v>156</v>
      </c>
      <c r="E3" s="184" t="s">
        <v>157</v>
      </c>
      <c r="F3" s="184" t="s">
        <v>158</v>
      </c>
      <c r="G3" s="184" t="s">
        <v>148</v>
      </c>
      <c r="H3" s="184" t="s">
        <v>149</v>
      </c>
      <c r="I3" s="184" t="s">
        <v>150</v>
      </c>
      <c r="J3" s="184" t="s">
        <v>159</v>
      </c>
      <c r="K3" s="184" t="s">
        <v>160</v>
      </c>
      <c r="L3" s="184" t="s">
        <v>152</v>
      </c>
      <c r="M3" s="184" t="s">
        <v>153</v>
      </c>
      <c r="N3" s="184" t="s">
        <v>154</v>
      </c>
    </row>
    <row r="4" spans="1:14">
      <c r="A4" t="s">
        <v>289</v>
      </c>
    </row>
    <row r="5" spans="1:14">
      <c r="A5" t="s">
        <v>290</v>
      </c>
    </row>
    <row r="6" spans="1:14">
      <c r="A6" t="s">
        <v>402</v>
      </c>
      <c r="B6" t="s">
        <v>297</v>
      </c>
      <c r="C6" s="192">
        <v>13.8</v>
      </c>
      <c r="D6" s="192">
        <v>15.3</v>
      </c>
      <c r="E6" s="192">
        <v>15.1</v>
      </c>
      <c r="F6" s="192">
        <v>16.100000000000001</v>
      </c>
      <c r="G6" s="57" t="s">
        <v>315</v>
      </c>
      <c r="H6" s="192">
        <v>18.8</v>
      </c>
      <c r="I6" s="192">
        <v>16.100000000000001</v>
      </c>
      <c r="J6" s="192">
        <v>15.6</v>
      </c>
      <c r="K6" s="192">
        <v>15.5</v>
      </c>
      <c r="L6" s="192">
        <v>15.8</v>
      </c>
      <c r="M6" s="192">
        <v>16.2</v>
      </c>
      <c r="N6" s="192">
        <v>17.100000000000001</v>
      </c>
    </row>
    <row r="7" spans="1:14">
      <c r="A7" t="s">
        <v>291</v>
      </c>
      <c r="B7" t="s">
        <v>287</v>
      </c>
      <c r="C7" s="192">
        <v>227</v>
      </c>
      <c r="D7" s="192">
        <v>236</v>
      </c>
      <c r="E7" s="197" t="s">
        <v>315</v>
      </c>
      <c r="F7" s="197" t="s">
        <v>315</v>
      </c>
      <c r="G7" s="197" t="s">
        <v>315</v>
      </c>
      <c r="H7" s="197" t="s">
        <v>315</v>
      </c>
      <c r="I7" s="197" t="s">
        <v>315</v>
      </c>
      <c r="J7" s="192">
        <v>176</v>
      </c>
      <c r="K7" s="192">
        <v>180</v>
      </c>
      <c r="L7" s="192">
        <v>197</v>
      </c>
      <c r="M7" s="192">
        <v>195</v>
      </c>
      <c r="N7" s="192">
        <v>197</v>
      </c>
    </row>
    <row r="8" spans="1:14">
      <c r="A8" t="s">
        <v>292</v>
      </c>
      <c r="B8" t="s">
        <v>293</v>
      </c>
      <c r="C8" s="192">
        <v>8.4600000000000009</v>
      </c>
      <c r="D8" s="192">
        <v>8.1</v>
      </c>
      <c r="E8" s="192">
        <v>8.3699999999999992</v>
      </c>
      <c r="F8" s="192">
        <v>8.1</v>
      </c>
      <c r="G8" s="192">
        <v>7.93</v>
      </c>
      <c r="H8" s="192">
        <v>8.44</v>
      </c>
      <c r="I8" s="192">
        <v>8.48</v>
      </c>
      <c r="J8" s="192">
        <v>8.25</v>
      </c>
      <c r="K8" s="192">
        <v>7.61</v>
      </c>
      <c r="L8" s="192">
        <v>7.37</v>
      </c>
      <c r="M8" s="192">
        <v>7.36</v>
      </c>
      <c r="N8" s="192">
        <v>7.59</v>
      </c>
    </row>
    <row r="9" spans="1:14">
      <c r="A9" t="s">
        <v>294</v>
      </c>
      <c r="B9" t="s">
        <v>295</v>
      </c>
      <c r="C9" s="192">
        <v>19.3</v>
      </c>
      <c r="D9" s="192">
        <v>19.8</v>
      </c>
      <c r="E9" s="192">
        <v>19.5</v>
      </c>
      <c r="F9" s="192">
        <v>19.8</v>
      </c>
      <c r="G9" s="192">
        <v>19.600000000000001</v>
      </c>
      <c r="H9" s="192">
        <v>19.5</v>
      </c>
      <c r="I9" s="192">
        <v>19</v>
      </c>
      <c r="J9" s="192">
        <v>19</v>
      </c>
      <c r="K9" s="192">
        <v>19.100000000000001</v>
      </c>
      <c r="L9" s="192">
        <v>19.5</v>
      </c>
      <c r="M9" s="192">
        <v>19</v>
      </c>
      <c r="N9" s="192">
        <v>18.600000000000001</v>
      </c>
    </row>
    <row r="10" spans="1:14">
      <c r="A10" t="s">
        <v>296</v>
      </c>
      <c r="B10" t="s">
        <v>293</v>
      </c>
      <c r="C10" s="192">
        <v>8.7100000000000009</v>
      </c>
      <c r="D10" s="192">
        <v>8.51</v>
      </c>
      <c r="E10" s="192">
        <v>8.56</v>
      </c>
      <c r="F10" s="192">
        <v>9.01</v>
      </c>
      <c r="G10" s="192">
        <v>9.76</v>
      </c>
      <c r="H10" s="192">
        <v>10.199999999999999</v>
      </c>
      <c r="I10" s="192">
        <v>10.199999999999999</v>
      </c>
      <c r="J10" s="192">
        <v>9.93</v>
      </c>
      <c r="K10" s="192">
        <v>9.41</v>
      </c>
      <c r="L10" s="192">
        <v>9.3000000000000007</v>
      </c>
      <c r="M10" s="192">
        <v>9.4700000000000006</v>
      </c>
      <c r="N10" s="192">
        <v>9.64</v>
      </c>
    </row>
    <row r="11" spans="1:14">
      <c r="A11" t="s">
        <v>507</v>
      </c>
      <c r="B11" t="s">
        <v>297</v>
      </c>
      <c r="C11" s="192">
        <v>20.100000000000001</v>
      </c>
      <c r="D11" s="192">
        <v>20.399999999999999</v>
      </c>
      <c r="E11" s="192">
        <v>21.1</v>
      </c>
      <c r="F11" s="192">
        <v>20.9</v>
      </c>
      <c r="G11" s="192">
        <v>19.5</v>
      </c>
      <c r="H11" s="192">
        <v>20.100000000000001</v>
      </c>
      <c r="I11" s="192">
        <v>19</v>
      </c>
      <c r="J11" s="192">
        <v>19.600000000000001</v>
      </c>
      <c r="K11" s="192">
        <v>17.899999999999999</v>
      </c>
      <c r="L11" s="192">
        <v>17</v>
      </c>
      <c r="M11" s="192">
        <v>16.399999999999999</v>
      </c>
      <c r="N11" s="192">
        <v>17.2</v>
      </c>
    </row>
    <row r="12" spans="1:14">
      <c r="A12" t="s">
        <v>508</v>
      </c>
      <c r="B12" t="s">
        <v>297</v>
      </c>
      <c r="C12" s="192">
        <v>18.600000000000001</v>
      </c>
      <c r="D12" s="192">
        <v>18.399999999999999</v>
      </c>
      <c r="E12" s="192">
        <v>18.399999999999999</v>
      </c>
      <c r="F12" s="192">
        <v>18.600000000000001</v>
      </c>
      <c r="G12" s="192">
        <v>18</v>
      </c>
      <c r="H12" s="192">
        <v>18.600000000000001</v>
      </c>
      <c r="I12" s="192">
        <v>18</v>
      </c>
      <c r="J12" s="192">
        <v>17.8</v>
      </c>
      <c r="K12" s="192">
        <v>17.399999999999999</v>
      </c>
      <c r="L12" s="192">
        <v>16.7</v>
      </c>
      <c r="M12" s="192">
        <v>16</v>
      </c>
      <c r="N12" s="192">
        <v>16.8</v>
      </c>
    </row>
    <row r="13" spans="1:14">
      <c r="A13" t="s">
        <v>509</v>
      </c>
      <c r="B13" t="s">
        <v>297</v>
      </c>
      <c r="C13" s="192">
        <v>26.8</v>
      </c>
      <c r="D13" s="192">
        <v>26.8</v>
      </c>
      <c r="E13" s="192">
        <v>27.1</v>
      </c>
      <c r="F13" s="192">
        <v>26</v>
      </c>
      <c r="G13" s="192">
        <v>26.2</v>
      </c>
      <c r="H13" s="192">
        <v>27.5</v>
      </c>
      <c r="I13" s="192">
        <v>25.8</v>
      </c>
      <c r="J13" s="192">
        <v>26.5</v>
      </c>
      <c r="K13" s="192">
        <v>23.3</v>
      </c>
      <c r="L13" s="192">
        <v>20.9</v>
      </c>
      <c r="M13" s="192">
        <v>21.6</v>
      </c>
      <c r="N13" s="192">
        <v>19.5</v>
      </c>
    </row>
    <row r="14" spans="1:14">
      <c r="A14" s="191" t="s">
        <v>409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>
      <c r="A15" t="s">
        <v>407</v>
      </c>
      <c r="B15" t="s">
        <v>297</v>
      </c>
      <c r="C15" s="192">
        <v>14.51</v>
      </c>
      <c r="D15" s="192">
        <v>14.64</v>
      </c>
      <c r="E15" s="192">
        <v>15.63</v>
      </c>
      <c r="F15" s="192">
        <v>17</v>
      </c>
      <c r="G15" s="192">
        <v>17.68</v>
      </c>
      <c r="H15" s="192">
        <v>17.239999999999998</v>
      </c>
      <c r="I15" s="192">
        <v>15.65</v>
      </c>
      <c r="J15" s="192">
        <v>15.3</v>
      </c>
      <c r="K15" s="192">
        <v>14.66</v>
      </c>
      <c r="L15" s="192">
        <v>15.83</v>
      </c>
      <c r="M15" s="192">
        <v>16.54</v>
      </c>
      <c r="N15" s="192">
        <v>16.78</v>
      </c>
    </row>
    <row r="16" spans="1:14">
      <c r="A16" t="s">
        <v>408</v>
      </c>
      <c r="B16" t="s">
        <v>287</v>
      </c>
      <c r="C16" s="192">
        <v>276.25</v>
      </c>
      <c r="D16" s="192">
        <v>258</v>
      </c>
      <c r="E16" s="192">
        <v>251.7</v>
      </c>
      <c r="F16" s="192">
        <v>249</v>
      </c>
      <c r="G16" s="192">
        <v>258.75</v>
      </c>
      <c r="H16" s="192">
        <v>276.25</v>
      </c>
      <c r="I16" s="192">
        <v>260</v>
      </c>
      <c r="J16" s="192">
        <v>247</v>
      </c>
      <c r="K16" s="192">
        <v>245.75</v>
      </c>
      <c r="L16" s="192">
        <v>206.25</v>
      </c>
      <c r="M16" s="192">
        <v>203.25</v>
      </c>
      <c r="N16" s="192">
        <v>205</v>
      </c>
    </row>
    <row r="17" spans="1:14">
      <c r="A17" t="s">
        <v>414</v>
      </c>
      <c r="B17" t="s">
        <v>293</v>
      </c>
      <c r="C17" s="192">
        <v>9.17</v>
      </c>
      <c r="D17" s="192">
        <v>9.02</v>
      </c>
      <c r="E17" s="192">
        <v>8.7200000000000006</v>
      </c>
      <c r="F17" s="192">
        <v>8.6999999999999993</v>
      </c>
      <c r="G17" s="192">
        <v>9.16</v>
      </c>
      <c r="H17" s="192">
        <v>9.69</v>
      </c>
      <c r="I17" s="192">
        <v>9.48</v>
      </c>
      <c r="J17" s="192">
        <v>9.11</v>
      </c>
      <c r="K17" s="192">
        <v>8.48</v>
      </c>
      <c r="L17" s="192">
        <v>8.34</v>
      </c>
      <c r="M17" s="192">
        <v>8.75</v>
      </c>
      <c r="N17" s="192">
        <v>9.2799999999999994</v>
      </c>
    </row>
    <row r="18" spans="1:14">
      <c r="A18" t="s">
        <v>406</v>
      </c>
      <c r="B18" t="s">
        <v>293</v>
      </c>
      <c r="C18" s="192">
        <v>8.6999999999999993</v>
      </c>
      <c r="D18" s="192">
        <v>8.69</v>
      </c>
      <c r="E18" s="192">
        <v>8.77</v>
      </c>
      <c r="F18" s="192">
        <v>9.3800000000000008</v>
      </c>
      <c r="G18" s="192">
        <v>10.27</v>
      </c>
      <c r="H18" s="192">
        <v>11.21</v>
      </c>
      <c r="I18" s="192">
        <v>10.45</v>
      </c>
      <c r="J18" s="192">
        <v>9.5299999999999994</v>
      </c>
      <c r="K18" s="192">
        <v>9.5299999999999994</v>
      </c>
      <c r="L18" s="192">
        <v>9.4499999999999993</v>
      </c>
      <c r="M18" s="192">
        <v>9.74</v>
      </c>
      <c r="N18" s="192">
        <v>9.98</v>
      </c>
    </row>
    <row r="19" spans="1:14">
      <c r="A19" t="s">
        <v>405</v>
      </c>
      <c r="B19" t="s">
        <v>293</v>
      </c>
      <c r="C19" s="192">
        <v>9.4499999999999993</v>
      </c>
      <c r="D19" s="192">
        <v>9.26</v>
      </c>
      <c r="E19" s="192">
        <v>9.34</v>
      </c>
      <c r="F19" s="192">
        <v>10</v>
      </c>
      <c r="G19" s="192">
        <v>10.84</v>
      </c>
      <c r="H19" s="192">
        <v>11.92</v>
      </c>
      <c r="I19" s="192">
        <v>11.43</v>
      </c>
      <c r="J19" s="192">
        <v>10.9</v>
      </c>
      <c r="K19" s="192">
        <v>10.5</v>
      </c>
      <c r="L19" s="192">
        <v>10.9</v>
      </c>
      <c r="M19" s="192">
        <v>10.29</v>
      </c>
      <c r="N19" s="192">
        <v>10.6</v>
      </c>
    </row>
    <row r="20" spans="1:14">
      <c r="A20" t="s">
        <v>410</v>
      </c>
      <c r="B20" t="s">
        <v>297</v>
      </c>
      <c r="C20" s="192">
        <v>16.440000000000001</v>
      </c>
      <c r="D20" s="192">
        <v>16.670000000000002</v>
      </c>
      <c r="E20" s="192">
        <v>16.55</v>
      </c>
      <c r="F20" s="192">
        <v>16.559999999999999</v>
      </c>
      <c r="G20" s="192">
        <v>16.75</v>
      </c>
      <c r="H20" s="192">
        <v>17.29</v>
      </c>
      <c r="I20" s="192">
        <v>17.02</v>
      </c>
      <c r="J20" s="192">
        <v>17.97</v>
      </c>
      <c r="K20" s="191">
        <v>17.57</v>
      </c>
      <c r="L20" s="191">
        <v>16.23</v>
      </c>
      <c r="M20" s="191">
        <v>14.6</v>
      </c>
      <c r="N20" s="191">
        <v>14.51</v>
      </c>
    </row>
    <row r="21" spans="1:14">
      <c r="A21" t="s">
        <v>298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>
      <c r="A22" t="s">
        <v>299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>
      <c r="A23" t="s">
        <v>357</v>
      </c>
      <c r="B23" t="s">
        <v>295</v>
      </c>
      <c r="C23" s="192">
        <v>34.0625</v>
      </c>
      <c r="D23" s="192">
        <v>34.625</v>
      </c>
      <c r="E23" s="192">
        <v>35.549999999999997</v>
      </c>
      <c r="F23" s="192">
        <v>36.799999999999997</v>
      </c>
      <c r="G23" s="192">
        <v>35.0625</v>
      </c>
      <c r="H23" s="192">
        <v>35.1</v>
      </c>
      <c r="I23" s="192">
        <v>33.549999999999997</v>
      </c>
      <c r="J23" s="192">
        <v>36.9375</v>
      </c>
      <c r="K23" s="192">
        <v>37.25</v>
      </c>
      <c r="L23" s="192">
        <v>38.9375</v>
      </c>
      <c r="M23" s="192">
        <v>39.25</v>
      </c>
      <c r="N23" s="192">
        <v>40.200000000000003</v>
      </c>
    </row>
    <row r="24" spans="1:14">
      <c r="A24" t="s">
        <v>300</v>
      </c>
      <c r="B24" t="s">
        <v>301</v>
      </c>
      <c r="C24" s="192">
        <v>53.6875</v>
      </c>
      <c r="D24" s="192">
        <v>54.4375</v>
      </c>
      <c r="E24" s="192">
        <v>67.75</v>
      </c>
      <c r="F24" s="192">
        <v>76.900000000000006</v>
      </c>
      <c r="G24" s="192">
        <v>68.375</v>
      </c>
      <c r="H24" s="192">
        <v>69.349999999999994</v>
      </c>
      <c r="I24" s="192">
        <v>70.849999999999994</v>
      </c>
      <c r="J24" s="192">
        <v>72.0625</v>
      </c>
      <c r="K24" s="192">
        <v>74.3</v>
      </c>
      <c r="L24" s="192">
        <v>70</v>
      </c>
      <c r="M24" s="192">
        <v>73.5</v>
      </c>
      <c r="N24" s="192">
        <v>78.2</v>
      </c>
    </row>
    <row r="25" spans="1:14">
      <c r="A25" t="s">
        <v>466</v>
      </c>
      <c r="B25" t="s">
        <v>301</v>
      </c>
      <c r="C25" s="192">
        <v>39.93</v>
      </c>
      <c r="D25" s="192">
        <v>40.29</v>
      </c>
      <c r="E25" s="192">
        <v>41.05</v>
      </c>
      <c r="F25" s="192">
        <v>42.12</v>
      </c>
      <c r="G25" s="192">
        <v>40.33</v>
      </c>
      <c r="H25" s="192">
        <v>39.94</v>
      </c>
      <c r="I25" s="192">
        <v>38.86</v>
      </c>
      <c r="J25" s="192">
        <v>39.06</v>
      </c>
      <c r="K25" s="192">
        <v>38.11</v>
      </c>
      <c r="L25" s="192">
        <v>36.22</v>
      </c>
      <c r="M25" s="191">
        <v>36.83</v>
      </c>
      <c r="N25" s="191">
        <v>38.119999999999997</v>
      </c>
    </row>
    <row r="26" spans="1:14">
      <c r="A26" t="s">
        <v>460</v>
      </c>
      <c r="B26" t="s">
        <v>301</v>
      </c>
      <c r="C26" s="192">
        <v>23.75</v>
      </c>
      <c r="D26" s="192">
        <v>25.34</v>
      </c>
      <c r="E26" s="192">
        <v>27.71</v>
      </c>
      <c r="F26" s="192">
        <v>30.11</v>
      </c>
      <c r="G26" s="192">
        <v>31.04</v>
      </c>
      <c r="H26" s="192">
        <v>27.94</v>
      </c>
      <c r="I26" s="192">
        <v>26.28</v>
      </c>
      <c r="J26" s="192">
        <v>25.8</v>
      </c>
      <c r="K26" s="192">
        <v>27.93</v>
      </c>
      <c r="L26" s="192">
        <v>28.68</v>
      </c>
      <c r="M26" s="192">
        <v>27.91</v>
      </c>
      <c r="N26" s="192">
        <v>26.49</v>
      </c>
    </row>
    <row r="27" spans="1:14">
      <c r="A27" t="s">
        <v>303</v>
      </c>
      <c r="B27" t="s">
        <v>301</v>
      </c>
      <c r="C27" s="192">
        <v>47.3125</v>
      </c>
      <c r="D27" s="192">
        <v>46.0625</v>
      </c>
      <c r="E27" s="192">
        <v>46.2</v>
      </c>
      <c r="F27" s="192">
        <v>47.35</v>
      </c>
      <c r="G27" s="192">
        <v>46.0625</v>
      </c>
      <c r="H27" s="192">
        <v>45.55</v>
      </c>
      <c r="I27" s="192">
        <v>44.75</v>
      </c>
      <c r="J27" s="192">
        <v>45.25</v>
      </c>
      <c r="K27" s="192">
        <v>44.15</v>
      </c>
      <c r="L27" s="192">
        <v>44.875</v>
      </c>
      <c r="M27" s="192">
        <v>45.8125</v>
      </c>
      <c r="N27" s="192">
        <v>46.4</v>
      </c>
    </row>
    <row r="28" spans="1:14">
      <c r="A28" t="s">
        <v>361</v>
      </c>
      <c r="B28" t="s">
        <v>301</v>
      </c>
      <c r="C28" s="192">
        <v>24</v>
      </c>
      <c r="D28" s="197" t="s">
        <v>315</v>
      </c>
      <c r="E28" s="192">
        <v>29</v>
      </c>
      <c r="F28" s="192">
        <v>33</v>
      </c>
      <c r="G28" s="197" t="s">
        <v>315</v>
      </c>
      <c r="H28" s="197" t="s">
        <v>315</v>
      </c>
      <c r="I28" s="197" t="s">
        <v>315</v>
      </c>
      <c r="J28" s="192">
        <v>36.53</v>
      </c>
      <c r="K28" s="192">
        <v>36.75</v>
      </c>
      <c r="L28" s="192">
        <v>34</v>
      </c>
      <c r="M28" s="197" t="s">
        <v>315</v>
      </c>
      <c r="N28" s="192">
        <v>31</v>
      </c>
    </row>
    <row r="29" spans="1:14">
      <c r="A29" t="s">
        <v>304</v>
      </c>
      <c r="B29" t="s">
        <v>301</v>
      </c>
      <c r="C29" s="192">
        <v>30.0625</v>
      </c>
      <c r="D29" s="192">
        <v>31.4375</v>
      </c>
      <c r="E29" s="192">
        <v>32.799999999999997</v>
      </c>
      <c r="F29" s="192">
        <v>35.35</v>
      </c>
      <c r="G29" s="192">
        <v>34.9375</v>
      </c>
      <c r="H29" s="192">
        <v>33</v>
      </c>
      <c r="I29" s="192">
        <v>31.45</v>
      </c>
      <c r="J29" s="192">
        <v>35.25</v>
      </c>
      <c r="K29" s="192">
        <v>36.85</v>
      </c>
      <c r="L29" s="192">
        <v>36.4375</v>
      </c>
      <c r="M29" s="192">
        <v>37.125</v>
      </c>
      <c r="N29" s="192">
        <v>37.950000000000003</v>
      </c>
    </row>
    <row r="30" spans="1:14">
      <c r="A30" t="s">
        <v>423</v>
      </c>
      <c r="B30" t="s">
        <v>301</v>
      </c>
      <c r="C30" s="192">
        <v>34.9375</v>
      </c>
      <c r="D30" s="192">
        <v>35.8125</v>
      </c>
      <c r="E30" s="192">
        <v>36.65</v>
      </c>
      <c r="F30" s="192">
        <v>38.299999999999997</v>
      </c>
      <c r="G30" s="192">
        <v>37.4375</v>
      </c>
      <c r="H30" s="192">
        <v>36.049999999999997</v>
      </c>
      <c r="I30" s="192">
        <v>34.799999999999997</v>
      </c>
      <c r="J30" s="192">
        <v>37.3125</v>
      </c>
      <c r="K30" s="192">
        <v>39.25</v>
      </c>
      <c r="L30" s="192">
        <v>40.0625</v>
      </c>
      <c r="M30" s="192">
        <v>40.5</v>
      </c>
      <c r="N30" s="192">
        <v>41.3</v>
      </c>
    </row>
    <row r="31" spans="1:14">
      <c r="A31" t="s">
        <v>305</v>
      </c>
      <c r="B31" t="s">
        <v>301</v>
      </c>
      <c r="C31" s="192">
        <v>56.1875</v>
      </c>
      <c r="D31" s="192">
        <v>55</v>
      </c>
      <c r="E31" s="192">
        <v>55.55</v>
      </c>
      <c r="F31" s="192">
        <v>56.2</v>
      </c>
      <c r="G31" s="192">
        <v>61.375</v>
      </c>
      <c r="H31" s="192">
        <v>61.1</v>
      </c>
      <c r="I31" s="192">
        <v>62.1</v>
      </c>
      <c r="J31" s="192">
        <v>61</v>
      </c>
      <c r="K31" s="192">
        <v>61.6</v>
      </c>
      <c r="L31" s="192">
        <v>64.875</v>
      </c>
      <c r="M31" s="192">
        <v>66</v>
      </c>
      <c r="N31" s="192">
        <v>63.1</v>
      </c>
    </row>
    <row r="32" spans="1:14" s="191" customFormat="1">
      <c r="A32" t="s">
        <v>306</v>
      </c>
      <c r="B32" t="s">
        <v>301</v>
      </c>
      <c r="C32" s="192">
        <v>28.89</v>
      </c>
      <c r="D32" s="192">
        <v>29.79</v>
      </c>
      <c r="E32" s="192">
        <v>30.86</v>
      </c>
      <c r="F32" s="192">
        <v>32.450000000000003</v>
      </c>
      <c r="G32" s="192">
        <v>30.76</v>
      </c>
      <c r="H32" s="192">
        <v>30.35</v>
      </c>
      <c r="I32" s="192">
        <v>28.75</v>
      </c>
      <c r="J32" s="192">
        <v>31.21</v>
      </c>
      <c r="K32" s="192">
        <v>31.99</v>
      </c>
      <c r="L32" s="192">
        <v>33.86</v>
      </c>
      <c r="M32" s="191">
        <v>34.520000000000003</v>
      </c>
      <c r="N32" s="191">
        <v>35.57</v>
      </c>
    </row>
    <row r="33" spans="1:15">
      <c r="A33" t="s">
        <v>307</v>
      </c>
      <c r="B33" t="s">
        <v>301</v>
      </c>
      <c r="C33" s="192">
        <v>58</v>
      </c>
      <c r="D33" s="192">
        <v>54.25</v>
      </c>
      <c r="E33" s="192">
        <v>53.8</v>
      </c>
      <c r="F33" s="192">
        <v>53.8</v>
      </c>
      <c r="G33" s="192">
        <v>54</v>
      </c>
      <c r="H33" s="192">
        <v>54.2</v>
      </c>
      <c r="I33" s="192">
        <v>55.2</v>
      </c>
      <c r="J33" s="192">
        <v>56</v>
      </c>
      <c r="K33" s="192">
        <v>56</v>
      </c>
      <c r="L33" s="192">
        <v>56</v>
      </c>
      <c r="M33" s="192">
        <v>56</v>
      </c>
      <c r="N33" s="192">
        <v>56</v>
      </c>
    </row>
    <row r="34" spans="1:15">
      <c r="A34" t="s">
        <v>359</v>
      </c>
      <c r="B34" t="s">
        <v>301</v>
      </c>
      <c r="C34" s="192">
        <v>24.1</v>
      </c>
      <c r="D34" s="192">
        <v>29.41</v>
      </c>
      <c r="E34" s="192">
        <v>35</v>
      </c>
      <c r="F34" s="192">
        <v>39</v>
      </c>
      <c r="G34" s="192">
        <v>34.6</v>
      </c>
      <c r="H34" s="192">
        <v>33.54</v>
      </c>
      <c r="I34" s="192">
        <v>34</v>
      </c>
      <c r="J34" s="192">
        <v>33.25</v>
      </c>
      <c r="K34" s="192">
        <v>31.71</v>
      </c>
      <c r="L34" s="192">
        <v>32.25</v>
      </c>
      <c r="M34" s="192">
        <v>34.69</v>
      </c>
      <c r="N34" s="192">
        <v>34</v>
      </c>
    </row>
    <row r="35" spans="1:15">
      <c r="A35" s="107" t="s">
        <v>422</v>
      </c>
      <c r="B35" t="s">
        <v>301</v>
      </c>
      <c r="C35" s="192">
        <v>18.920000000000002</v>
      </c>
      <c r="D35" s="192">
        <v>20.47</v>
      </c>
      <c r="E35" s="192">
        <v>23.43</v>
      </c>
      <c r="F35" s="192">
        <v>26.72</v>
      </c>
      <c r="G35" s="192">
        <v>28.18</v>
      </c>
      <c r="H35" s="192">
        <v>26.97</v>
      </c>
      <c r="I35" s="192">
        <v>25.31</v>
      </c>
      <c r="J35" s="192">
        <v>24.25</v>
      </c>
      <c r="K35" s="192">
        <v>24.47</v>
      </c>
      <c r="L35" s="192">
        <v>24.13</v>
      </c>
      <c r="M35" s="192">
        <v>23.55</v>
      </c>
      <c r="N35" s="192">
        <v>23.67</v>
      </c>
      <c r="O35" s="57"/>
    </row>
    <row r="36" spans="1:15">
      <c r="A36" s="107" t="s">
        <v>418</v>
      </c>
      <c r="B36" s="107" t="s">
        <v>419</v>
      </c>
      <c r="C36" s="192">
        <v>2.7719999999999994</v>
      </c>
      <c r="D36" s="192">
        <v>2.8774999999999999</v>
      </c>
      <c r="E36" s="192">
        <v>3.07</v>
      </c>
      <c r="F36" s="192">
        <v>3.2039999999999997</v>
      </c>
      <c r="G36" s="192">
        <v>3.35</v>
      </c>
      <c r="H36" s="192">
        <v>3.355</v>
      </c>
      <c r="I36" s="192">
        <v>3.117</v>
      </c>
      <c r="J36" s="192">
        <v>3.3425000000000002</v>
      </c>
      <c r="K36" s="192">
        <v>3.3079999999999998</v>
      </c>
      <c r="L36" s="192">
        <v>3.2774999999999999</v>
      </c>
      <c r="M36" s="192">
        <v>3.4662500000000001</v>
      </c>
      <c r="N36" s="192">
        <v>3.5260000000000007</v>
      </c>
      <c r="O36" s="57"/>
    </row>
    <row r="37" spans="1:15">
      <c r="A37" s="191" t="s">
        <v>308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</row>
    <row r="38" spans="1:15">
      <c r="A38" t="s">
        <v>358</v>
      </c>
      <c r="B38" t="s">
        <v>287</v>
      </c>
      <c r="C38" s="192">
        <v>231.76</v>
      </c>
      <c r="D38" s="192">
        <v>224.34</v>
      </c>
      <c r="E38" s="192">
        <v>228.87</v>
      </c>
      <c r="F38" s="192">
        <v>247.53</v>
      </c>
      <c r="G38" s="192">
        <v>329.01</v>
      </c>
      <c r="H38" s="192">
        <v>345.14</v>
      </c>
      <c r="I38" s="192">
        <v>306.02999999999997</v>
      </c>
      <c r="J38" s="192">
        <v>255.35</v>
      </c>
      <c r="K38" s="192">
        <v>231</v>
      </c>
      <c r="L38" s="192">
        <v>225.05</v>
      </c>
      <c r="M38" s="192">
        <v>234.78</v>
      </c>
      <c r="N38" s="192">
        <v>243.3</v>
      </c>
    </row>
    <row r="39" spans="1:15">
      <c r="A39" t="s">
        <v>309</v>
      </c>
      <c r="B39" t="s">
        <v>301</v>
      </c>
      <c r="C39" s="192">
        <v>248.75</v>
      </c>
      <c r="D39" s="192">
        <v>238.13</v>
      </c>
      <c r="E39" s="192">
        <v>216.5</v>
      </c>
      <c r="F39" s="192">
        <v>207.5</v>
      </c>
      <c r="G39" s="192">
        <v>242.5</v>
      </c>
      <c r="H39" s="192">
        <v>284</v>
      </c>
      <c r="I39" s="192">
        <v>280</v>
      </c>
      <c r="J39" s="192">
        <v>280</v>
      </c>
      <c r="K39" s="192">
        <v>285</v>
      </c>
      <c r="L39" s="192">
        <v>241.88</v>
      </c>
      <c r="M39" s="192">
        <v>221</v>
      </c>
      <c r="N39" s="192">
        <v>217.5</v>
      </c>
    </row>
    <row r="40" spans="1:15">
      <c r="A40" t="s">
        <v>338</v>
      </c>
      <c r="B40" t="s">
        <v>301</v>
      </c>
      <c r="C40" s="192">
        <v>195</v>
      </c>
      <c r="D40" s="192">
        <v>197.5</v>
      </c>
      <c r="E40" s="192">
        <v>195</v>
      </c>
      <c r="F40" s="192">
        <v>218.13</v>
      </c>
      <c r="G40" s="192">
        <v>301.5</v>
      </c>
      <c r="H40" s="192">
        <v>375.63</v>
      </c>
      <c r="I40" s="192">
        <v>364.38</v>
      </c>
      <c r="J40" s="192">
        <v>335</v>
      </c>
      <c r="K40" s="192">
        <v>316.25</v>
      </c>
      <c r="L40" s="192">
        <v>305.625</v>
      </c>
      <c r="M40" s="192">
        <v>296</v>
      </c>
      <c r="N40" s="192">
        <v>290</v>
      </c>
    </row>
    <row r="41" spans="1:15" s="191" customFormat="1">
      <c r="A41" t="s">
        <v>339</v>
      </c>
      <c r="B41" t="s">
        <v>301</v>
      </c>
      <c r="C41" s="191">
        <v>279.56</v>
      </c>
      <c r="D41" s="191">
        <v>273.61</v>
      </c>
      <c r="E41" s="191">
        <v>276.22000000000003</v>
      </c>
      <c r="F41" s="191">
        <v>303.81</v>
      </c>
      <c r="G41" s="191">
        <v>376.35</v>
      </c>
      <c r="H41" s="191">
        <v>408.57</v>
      </c>
      <c r="I41" s="191">
        <v>371.49</v>
      </c>
      <c r="J41" s="191">
        <v>340.8</v>
      </c>
      <c r="K41" s="191">
        <v>337.95</v>
      </c>
      <c r="L41" s="191">
        <v>323.27</v>
      </c>
      <c r="M41" s="191">
        <v>322.41000000000003</v>
      </c>
      <c r="N41" s="191">
        <v>321.02</v>
      </c>
    </row>
    <row r="42" spans="1:15">
      <c r="A42" t="s">
        <v>416</v>
      </c>
      <c r="B42" t="s">
        <v>301</v>
      </c>
      <c r="C42" s="192">
        <v>156.88</v>
      </c>
      <c r="D42" s="192">
        <v>131.88</v>
      </c>
      <c r="E42" s="192">
        <v>120</v>
      </c>
      <c r="F42" s="192">
        <v>109.38</v>
      </c>
      <c r="G42" s="192">
        <v>149.5</v>
      </c>
      <c r="H42" s="192">
        <v>165.63</v>
      </c>
      <c r="I42" s="192">
        <v>151.88</v>
      </c>
      <c r="J42" s="192">
        <v>141</v>
      </c>
      <c r="K42" s="192">
        <v>148.75</v>
      </c>
      <c r="L42" s="192">
        <v>148.75</v>
      </c>
      <c r="M42" s="192">
        <v>140.5</v>
      </c>
      <c r="N42" s="192">
        <v>145</v>
      </c>
    </row>
    <row r="43" spans="1:15">
      <c r="A43" s="191" t="s">
        <v>415</v>
      </c>
      <c r="B43" s="191" t="s">
        <v>310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5">
      <c r="A44" s="191" t="s">
        <v>311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</row>
    <row r="45" spans="1:15">
      <c r="A45" t="s">
        <v>312</v>
      </c>
      <c r="B45" t="s">
        <v>301</v>
      </c>
      <c r="C45" s="197" t="s">
        <v>315</v>
      </c>
      <c r="D45" s="197" t="s">
        <v>315</v>
      </c>
      <c r="E45" s="197" t="s">
        <v>315</v>
      </c>
      <c r="F45" s="197" t="s">
        <v>315</v>
      </c>
      <c r="G45" s="197" t="s">
        <v>315</v>
      </c>
      <c r="H45" s="197" t="s">
        <v>315</v>
      </c>
      <c r="I45" s="197" t="s">
        <v>315</v>
      </c>
      <c r="J45" s="197" t="s">
        <v>315</v>
      </c>
      <c r="K45" s="197" t="s">
        <v>315</v>
      </c>
      <c r="L45" s="197" t="s">
        <v>315</v>
      </c>
      <c r="M45" s="197" t="s">
        <v>315</v>
      </c>
      <c r="N45" s="197" t="s">
        <v>315</v>
      </c>
    </row>
    <row r="46" spans="1:15">
      <c r="A46" s="191" t="s">
        <v>313</v>
      </c>
      <c r="B46" s="191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</row>
    <row r="47" spans="1:15">
      <c r="A47" t="s">
        <v>389</v>
      </c>
      <c r="B47" t="s">
        <v>301</v>
      </c>
      <c r="C47" s="193">
        <v>317</v>
      </c>
      <c r="D47" s="193">
        <v>319</v>
      </c>
      <c r="E47" s="193">
        <v>318.7</v>
      </c>
      <c r="F47" s="193">
        <v>320.10000000000002</v>
      </c>
      <c r="G47" s="193">
        <v>318</v>
      </c>
      <c r="H47" s="193">
        <v>323.2</v>
      </c>
      <c r="I47" s="193">
        <v>331.7</v>
      </c>
      <c r="J47" s="193">
        <v>335.5</v>
      </c>
      <c r="K47" s="193">
        <v>332.2</v>
      </c>
      <c r="L47" s="193">
        <v>332.7</v>
      </c>
      <c r="M47" s="193">
        <v>323.8</v>
      </c>
      <c r="N47" s="193">
        <v>317.60000000000002</v>
      </c>
    </row>
    <row r="48" spans="1:15">
      <c r="A48" t="s">
        <v>450</v>
      </c>
      <c r="B48" t="s">
        <v>301</v>
      </c>
      <c r="C48" s="193">
        <v>234.8</v>
      </c>
      <c r="D48" s="193">
        <v>237.6</v>
      </c>
      <c r="E48" s="193">
        <v>237.4</v>
      </c>
      <c r="F48" s="193">
        <v>239.6</v>
      </c>
      <c r="G48" s="193">
        <v>239.8</v>
      </c>
      <c r="H48" s="193">
        <v>244.4</v>
      </c>
      <c r="I48" s="193">
        <v>243.7</v>
      </c>
      <c r="J48" s="193">
        <v>244.7</v>
      </c>
      <c r="K48" s="193">
        <v>244</v>
      </c>
      <c r="L48" s="193">
        <v>246.4</v>
      </c>
      <c r="M48" s="193">
        <v>246.2</v>
      </c>
      <c r="N48" s="193">
        <v>249</v>
      </c>
    </row>
    <row r="49" spans="1:14">
      <c r="A49" t="s">
        <v>388</v>
      </c>
      <c r="B49" t="s">
        <v>301</v>
      </c>
      <c r="C49" s="193">
        <v>183.1</v>
      </c>
      <c r="D49" s="193">
        <v>195.8</v>
      </c>
      <c r="E49" s="193">
        <v>205.5</v>
      </c>
      <c r="F49" s="193">
        <v>212.6</v>
      </c>
      <c r="G49" s="193">
        <v>212.6</v>
      </c>
      <c r="H49" s="193">
        <v>212.6</v>
      </c>
      <c r="I49" s="193">
        <v>204.8</v>
      </c>
      <c r="J49" s="193">
        <v>204.7</v>
      </c>
      <c r="K49" s="193">
        <v>206.4</v>
      </c>
      <c r="L49" s="193">
        <v>214.3</v>
      </c>
      <c r="M49" s="193">
        <v>222.1</v>
      </c>
      <c r="N49" s="193">
        <v>234</v>
      </c>
    </row>
    <row r="50" spans="1:14">
      <c r="A50" s="1" t="s">
        <v>436</v>
      </c>
      <c r="B50" s="1" t="s">
        <v>437</v>
      </c>
      <c r="C50" s="198">
        <v>135.80000000000001</v>
      </c>
      <c r="D50" s="198">
        <v>135.80000000000001</v>
      </c>
      <c r="E50" s="198">
        <v>135.80000000000001</v>
      </c>
      <c r="F50" s="198">
        <v>135.80000000000001</v>
      </c>
      <c r="G50" s="198">
        <v>135.80000000000001</v>
      </c>
      <c r="H50" s="198">
        <v>135.80000000000001</v>
      </c>
      <c r="I50" s="198">
        <v>135.80000000000001</v>
      </c>
      <c r="J50" s="198">
        <v>135.80000000000001</v>
      </c>
      <c r="K50" s="198">
        <v>135.80000000000001</v>
      </c>
      <c r="L50" s="198">
        <v>135.80000000000001</v>
      </c>
      <c r="M50" s="198">
        <v>135.80000000000001</v>
      </c>
      <c r="N50" s="198">
        <v>135.80000000000001</v>
      </c>
    </row>
    <row r="51" spans="1:14">
      <c r="A51" s="107" t="s">
        <v>435</v>
      </c>
      <c r="N51" s="134"/>
    </row>
    <row r="52" spans="1:14">
      <c r="A52" s="107" t="s">
        <v>537</v>
      </c>
      <c r="M52" s="58"/>
    </row>
    <row r="53" spans="1:14" ht="10.199999999999999" customHeight="1">
      <c r="A53" s="107" t="s">
        <v>538</v>
      </c>
      <c r="K53" s="139"/>
      <c r="M53" s="145"/>
      <c r="N53" s="278" t="s">
        <v>679</v>
      </c>
    </row>
  </sheetData>
  <pageMargins left="0.7" right="0.7" top="0.75" bottom="0.75" header="0.3" footer="0.3"/>
  <pageSetup scale="87" firstPageNumber="66" orientation="landscape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53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50.7109375" customWidth="1"/>
    <col min="2" max="14" width="9.7109375" customWidth="1"/>
  </cols>
  <sheetData>
    <row r="1" spans="1:14">
      <c r="A1" s="1" t="s">
        <v>650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C2" s="279"/>
      <c r="D2" s="279"/>
      <c r="E2" s="279"/>
      <c r="F2" s="279"/>
      <c r="G2" s="279"/>
      <c r="H2" s="297">
        <v>2017</v>
      </c>
      <c r="I2" s="279"/>
      <c r="J2" s="279"/>
      <c r="K2" s="279"/>
      <c r="L2" s="279"/>
      <c r="M2" s="279"/>
      <c r="N2" s="279"/>
    </row>
    <row r="3" spans="1:14">
      <c r="A3" s="1" t="s">
        <v>288</v>
      </c>
      <c r="B3" s="9" t="s">
        <v>314</v>
      </c>
      <c r="C3" s="184" t="s">
        <v>155</v>
      </c>
      <c r="D3" s="184" t="s">
        <v>156</v>
      </c>
      <c r="E3" s="184" t="s">
        <v>157</v>
      </c>
      <c r="F3" s="184" t="s">
        <v>158</v>
      </c>
      <c r="G3" s="184" t="s">
        <v>148</v>
      </c>
      <c r="H3" s="184" t="s">
        <v>149</v>
      </c>
      <c r="I3" s="184" t="s">
        <v>150</v>
      </c>
      <c r="J3" s="184" t="s">
        <v>159</v>
      </c>
      <c r="K3" s="184" t="s">
        <v>160</v>
      </c>
      <c r="L3" s="184" t="s">
        <v>152</v>
      </c>
      <c r="M3" s="184" t="s">
        <v>153</v>
      </c>
      <c r="N3" s="184" t="s">
        <v>154</v>
      </c>
    </row>
    <row r="4" spans="1:14">
      <c r="A4" t="s">
        <v>289</v>
      </c>
    </row>
    <row r="5" spans="1:14">
      <c r="A5" t="s">
        <v>290</v>
      </c>
    </row>
    <row r="6" spans="1:14">
      <c r="A6" t="s">
        <v>402</v>
      </c>
      <c r="B6" t="s">
        <v>297</v>
      </c>
      <c r="C6" s="192">
        <v>17.3</v>
      </c>
      <c r="D6" s="192">
        <v>17.399999999999999</v>
      </c>
      <c r="E6" s="192">
        <v>17.600000000000001</v>
      </c>
      <c r="F6" s="192">
        <v>18</v>
      </c>
      <c r="G6" s="197">
        <v>16.8</v>
      </c>
      <c r="H6" s="192">
        <v>17.399999999999999</v>
      </c>
      <c r="I6" s="192">
        <v>17.8</v>
      </c>
      <c r="J6" s="192">
        <v>17.7</v>
      </c>
      <c r="K6" s="192">
        <v>17.3</v>
      </c>
      <c r="L6" s="192">
        <v>16.7</v>
      </c>
      <c r="M6" s="192">
        <v>17.2</v>
      </c>
      <c r="N6" s="192">
        <v>16.7</v>
      </c>
    </row>
    <row r="7" spans="1:14">
      <c r="A7" t="s">
        <v>291</v>
      </c>
      <c r="B7" t="s">
        <v>287</v>
      </c>
      <c r="C7" s="192">
        <v>199</v>
      </c>
      <c r="D7" s="192">
        <v>203</v>
      </c>
      <c r="E7" s="197" t="s">
        <v>315</v>
      </c>
      <c r="F7" s="197" t="s">
        <v>315</v>
      </c>
      <c r="G7" s="197" t="s">
        <v>315</v>
      </c>
      <c r="H7" s="197" t="s">
        <v>315</v>
      </c>
      <c r="I7" s="197" t="s">
        <v>315</v>
      </c>
      <c r="J7" s="192">
        <v>127</v>
      </c>
      <c r="K7" s="192">
        <v>124</v>
      </c>
      <c r="L7" s="192">
        <v>138</v>
      </c>
      <c r="M7" s="192">
        <v>144</v>
      </c>
      <c r="N7" s="192">
        <v>143</v>
      </c>
    </row>
    <row r="8" spans="1:14">
      <c r="A8" t="s">
        <v>292</v>
      </c>
      <c r="B8" t="s">
        <v>293</v>
      </c>
      <c r="C8" s="192">
        <v>8.26</v>
      </c>
      <c r="D8" s="192">
        <v>7.86</v>
      </c>
      <c r="E8" s="192">
        <v>8.34</v>
      </c>
      <c r="F8" s="192">
        <v>8.0299999999999994</v>
      </c>
      <c r="G8" s="192">
        <v>8.9600000000000009</v>
      </c>
      <c r="H8" s="192">
        <v>8.52</v>
      </c>
      <c r="I8" s="192">
        <v>8.4</v>
      </c>
      <c r="J8" s="192">
        <v>9.3000000000000007</v>
      </c>
      <c r="K8" s="192">
        <v>9.5500000000000007</v>
      </c>
      <c r="L8" s="192">
        <v>9.23</v>
      </c>
      <c r="M8" s="192">
        <v>9.2100000000000009</v>
      </c>
      <c r="N8" s="192">
        <v>9.34</v>
      </c>
    </row>
    <row r="9" spans="1:14">
      <c r="A9" t="s">
        <v>294</v>
      </c>
      <c r="B9" t="s">
        <v>295</v>
      </c>
      <c r="C9" s="192">
        <v>19.8</v>
      </c>
      <c r="D9" s="192">
        <v>20.100000000000001</v>
      </c>
      <c r="E9" s="192">
        <v>20.599999999999998</v>
      </c>
      <c r="F9" s="192">
        <v>19.8</v>
      </c>
      <c r="G9" s="192">
        <v>19.400000000000002</v>
      </c>
      <c r="H9" s="192">
        <v>19.7</v>
      </c>
      <c r="I9" s="192">
        <v>20.5</v>
      </c>
      <c r="J9" s="192">
        <v>19.8</v>
      </c>
      <c r="K9" s="192">
        <v>23</v>
      </c>
      <c r="L9" s="192">
        <v>23.7</v>
      </c>
      <c r="M9" s="192">
        <v>23.200000000000003</v>
      </c>
      <c r="N9" s="192">
        <v>24.099999999999998</v>
      </c>
    </row>
    <row r="10" spans="1:14">
      <c r="A10" t="s">
        <v>296</v>
      </c>
      <c r="B10" t="s">
        <v>293</v>
      </c>
      <c r="C10" s="192">
        <v>9.7100000000000009</v>
      </c>
      <c r="D10" s="192">
        <v>9.86</v>
      </c>
      <c r="E10" s="192">
        <v>9.69</v>
      </c>
      <c r="F10" s="192">
        <v>9.33</v>
      </c>
      <c r="G10" s="192">
        <v>9.2899999999999991</v>
      </c>
      <c r="H10" s="192">
        <v>9.1</v>
      </c>
      <c r="I10" s="192">
        <v>9.42</v>
      </c>
      <c r="J10" s="192">
        <v>9.24</v>
      </c>
      <c r="K10" s="192">
        <v>9.35</v>
      </c>
      <c r="L10" s="192">
        <v>9.18</v>
      </c>
      <c r="M10" s="192">
        <v>9.2200000000000006</v>
      </c>
      <c r="N10" s="192">
        <v>9.3000000000000007</v>
      </c>
    </row>
    <row r="11" spans="1:14">
      <c r="A11" t="s">
        <v>507</v>
      </c>
      <c r="B11" t="s">
        <v>297</v>
      </c>
      <c r="C11" s="192">
        <v>17.2</v>
      </c>
      <c r="D11" s="192">
        <v>17.600000000000001</v>
      </c>
      <c r="E11" s="192">
        <v>17.399999999999999</v>
      </c>
      <c r="F11" s="192">
        <v>17.899999999999999</v>
      </c>
      <c r="G11" s="192">
        <v>17.3</v>
      </c>
      <c r="H11" s="192">
        <v>17.600000000000001</v>
      </c>
      <c r="I11" s="192">
        <v>17.899999999999999</v>
      </c>
      <c r="J11" s="192">
        <v>19.100000000000001</v>
      </c>
      <c r="K11" s="192">
        <v>17.399999999999999</v>
      </c>
      <c r="L11" s="192">
        <v>16.8</v>
      </c>
      <c r="M11" s="192">
        <v>16.600000000000001</v>
      </c>
      <c r="N11" s="192">
        <v>17</v>
      </c>
    </row>
    <row r="12" spans="1:14">
      <c r="A12" t="s">
        <v>508</v>
      </c>
      <c r="B12" t="s">
        <v>297</v>
      </c>
      <c r="C12" s="192">
        <v>17.100000000000001</v>
      </c>
      <c r="D12" s="192">
        <v>17.3</v>
      </c>
      <c r="E12" s="192">
        <v>16.8</v>
      </c>
      <c r="F12" s="192">
        <v>17.3</v>
      </c>
      <c r="G12" s="192">
        <v>16.100000000000001</v>
      </c>
      <c r="H12" s="192">
        <v>17.100000000000001</v>
      </c>
      <c r="I12" s="192">
        <v>17.7</v>
      </c>
      <c r="J12" s="192">
        <v>18.5</v>
      </c>
      <c r="K12" s="192">
        <v>17.2</v>
      </c>
      <c r="L12" s="192">
        <v>16.5</v>
      </c>
      <c r="M12" s="192">
        <v>16.100000000000001</v>
      </c>
      <c r="N12" s="192">
        <v>16.7</v>
      </c>
    </row>
    <row r="13" spans="1:14">
      <c r="A13" t="s">
        <v>509</v>
      </c>
      <c r="B13" t="s">
        <v>297</v>
      </c>
      <c r="C13" s="192">
        <v>18.899999999999999</v>
      </c>
      <c r="D13" s="192">
        <v>20.6</v>
      </c>
      <c r="E13" s="192">
        <v>21.4</v>
      </c>
      <c r="F13" s="192">
        <v>22.6</v>
      </c>
      <c r="G13" s="192">
        <v>23.3</v>
      </c>
      <c r="H13" s="192">
        <v>20.9</v>
      </c>
      <c r="I13" s="192">
        <v>19.8</v>
      </c>
      <c r="J13" s="192">
        <v>23.1</v>
      </c>
      <c r="K13" s="197">
        <v>21.7</v>
      </c>
      <c r="L13" s="197">
        <v>22.1</v>
      </c>
      <c r="M13" s="197">
        <v>20.5</v>
      </c>
      <c r="N13" s="197">
        <v>20</v>
      </c>
    </row>
    <row r="14" spans="1:14" s="191" customFormat="1">
      <c r="A14" s="191" t="s">
        <v>409</v>
      </c>
    </row>
    <row r="15" spans="1:14">
      <c r="A15" t="s">
        <v>407</v>
      </c>
      <c r="B15" t="s">
        <v>297</v>
      </c>
      <c r="C15" s="192">
        <v>17.14</v>
      </c>
      <c r="D15" s="192">
        <v>17.34</v>
      </c>
      <c r="E15" s="192">
        <v>16.559999999999999</v>
      </c>
      <c r="F15" s="192">
        <v>17</v>
      </c>
      <c r="G15" s="192">
        <v>17.47</v>
      </c>
      <c r="H15" s="192">
        <v>17.690000000000001</v>
      </c>
      <c r="I15" s="192">
        <v>18.54</v>
      </c>
      <c r="J15" s="192">
        <v>17.559999999999999</v>
      </c>
      <c r="K15" s="192">
        <v>17.41</v>
      </c>
      <c r="L15" s="192">
        <v>17.48</v>
      </c>
      <c r="M15" s="192">
        <v>17.71</v>
      </c>
      <c r="N15" s="192">
        <v>17.27</v>
      </c>
    </row>
    <row r="16" spans="1:14">
      <c r="A16" t="s">
        <v>408</v>
      </c>
      <c r="B16" t="s">
        <v>287</v>
      </c>
      <c r="C16" s="192">
        <v>199.2</v>
      </c>
      <c r="D16" s="192">
        <v>194.5</v>
      </c>
      <c r="E16" s="192">
        <v>180.75</v>
      </c>
      <c r="F16" s="192">
        <v>178</v>
      </c>
      <c r="G16" s="192">
        <v>178.8</v>
      </c>
      <c r="H16" s="192">
        <v>194.75</v>
      </c>
      <c r="I16" s="192">
        <v>201.67</v>
      </c>
      <c r="J16" s="192">
        <v>198</v>
      </c>
      <c r="K16" s="192">
        <v>221.25</v>
      </c>
      <c r="L16" s="192">
        <v>154</v>
      </c>
      <c r="M16" s="192">
        <v>136.25</v>
      </c>
      <c r="N16" s="192">
        <v>144.33000000000001</v>
      </c>
    </row>
    <row r="17" spans="1:14">
      <c r="A17" t="s">
        <v>414</v>
      </c>
      <c r="B17" t="s">
        <v>293</v>
      </c>
      <c r="C17" s="192">
        <v>9.5</v>
      </c>
      <c r="D17" s="192">
        <v>9.5</v>
      </c>
      <c r="E17" s="192">
        <v>9.66</v>
      </c>
      <c r="F17" s="192">
        <v>9.25</v>
      </c>
      <c r="G17" s="192">
        <v>9.2799999999999994</v>
      </c>
      <c r="H17" s="192">
        <v>9.25</v>
      </c>
      <c r="I17" s="192">
        <v>9.31</v>
      </c>
      <c r="J17" s="192">
        <v>9.99</v>
      </c>
      <c r="K17" s="192">
        <v>10.52</v>
      </c>
      <c r="L17" s="192">
        <v>10.55</v>
      </c>
      <c r="M17" s="192">
        <v>10.3</v>
      </c>
      <c r="N17" s="192">
        <v>10.3</v>
      </c>
    </row>
    <row r="18" spans="1:14">
      <c r="A18" t="s">
        <v>406</v>
      </c>
      <c r="B18" t="s">
        <v>293</v>
      </c>
      <c r="C18" s="192">
        <v>10.09</v>
      </c>
      <c r="D18" s="192">
        <v>10.06</v>
      </c>
      <c r="E18" s="192">
        <v>9.6300000000000008</v>
      </c>
      <c r="F18" s="192">
        <v>9.1300000000000008</v>
      </c>
      <c r="G18" s="192">
        <v>9.24</v>
      </c>
      <c r="H18" s="192">
        <v>8.99</v>
      </c>
      <c r="I18" s="192">
        <v>9.66</v>
      </c>
      <c r="J18" s="192">
        <v>9.18</v>
      </c>
      <c r="K18" s="192">
        <v>9.34</v>
      </c>
      <c r="L18" s="192">
        <v>9.32</v>
      </c>
      <c r="M18" s="192">
        <v>9.42</v>
      </c>
      <c r="N18" s="192">
        <v>9.3800000000000008</v>
      </c>
    </row>
    <row r="19" spans="1:14">
      <c r="A19" t="s">
        <v>405</v>
      </c>
      <c r="B19" t="s">
        <v>293</v>
      </c>
      <c r="C19" s="192">
        <v>10.74</v>
      </c>
      <c r="D19" s="192">
        <v>10.7</v>
      </c>
      <c r="E19" s="192">
        <v>10.29</v>
      </c>
      <c r="F19" s="192">
        <v>9.73</v>
      </c>
      <c r="G19" s="192">
        <v>9.94</v>
      </c>
      <c r="H19" s="192">
        <v>9.58</v>
      </c>
      <c r="I19" s="192">
        <v>10.32</v>
      </c>
      <c r="J19" s="192">
        <v>9.9499999999999993</v>
      </c>
      <c r="K19" s="192">
        <v>10.09</v>
      </c>
      <c r="L19" s="192">
        <v>10.050000000000001</v>
      </c>
      <c r="M19" s="192">
        <v>10.06</v>
      </c>
      <c r="N19" s="192">
        <v>9.9600000000000009</v>
      </c>
    </row>
    <row r="20" spans="1:14">
      <c r="A20" t="s">
        <v>410</v>
      </c>
      <c r="B20" t="s">
        <v>297</v>
      </c>
      <c r="C20" s="192">
        <v>15.09</v>
      </c>
      <c r="D20" s="192">
        <v>15.16</v>
      </c>
      <c r="E20" s="192">
        <v>14.9</v>
      </c>
      <c r="F20" s="192">
        <v>14.9</v>
      </c>
      <c r="G20" s="192">
        <v>15.26</v>
      </c>
      <c r="H20" s="192">
        <v>15.6</v>
      </c>
      <c r="I20" s="192">
        <v>17.16</v>
      </c>
      <c r="J20" s="192">
        <v>17.510000000000002</v>
      </c>
      <c r="K20" s="191">
        <v>16.98</v>
      </c>
      <c r="L20" s="191">
        <v>16.82</v>
      </c>
      <c r="M20" s="191">
        <v>17.37</v>
      </c>
      <c r="N20" s="191">
        <v>17.43</v>
      </c>
    </row>
    <row r="21" spans="1:14">
      <c r="A21" t="s">
        <v>298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>
      <c r="A22" t="s">
        <v>299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>
      <c r="A23" t="s">
        <v>357</v>
      </c>
      <c r="B23" t="s">
        <v>295</v>
      </c>
      <c r="C23" s="192">
        <v>38.6875</v>
      </c>
      <c r="D23" s="192">
        <v>37.25</v>
      </c>
      <c r="E23" s="192">
        <v>37.299999999999997</v>
      </c>
      <c r="F23" s="192">
        <v>36.125</v>
      </c>
      <c r="G23" s="192">
        <v>37.0625</v>
      </c>
      <c r="H23" s="192">
        <v>37.85</v>
      </c>
      <c r="I23" s="192">
        <v>39.75</v>
      </c>
      <c r="J23" s="192">
        <v>41.1875</v>
      </c>
      <c r="K23" s="192">
        <v>41.15</v>
      </c>
      <c r="L23" s="192">
        <v>39.0625</v>
      </c>
      <c r="M23" s="192">
        <v>39.6875</v>
      </c>
      <c r="N23" s="192">
        <v>38.65</v>
      </c>
    </row>
    <row r="24" spans="1:14">
      <c r="A24" t="s">
        <v>300</v>
      </c>
      <c r="B24" t="s">
        <v>301</v>
      </c>
      <c r="C24" s="192">
        <v>83.625</v>
      </c>
      <c r="D24" s="192">
        <v>90</v>
      </c>
      <c r="E24" s="192">
        <v>73.900000000000006</v>
      </c>
      <c r="F24" s="192">
        <v>82.8125</v>
      </c>
      <c r="G24" s="192">
        <v>84</v>
      </c>
      <c r="H24" s="192">
        <v>83.6</v>
      </c>
      <c r="I24" s="192">
        <v>81</v>
      </c>
      <c r="J24" s="192">
        <v>85.875</v>
      </c>
      <c r="K24" s="192">
        <v>86.625</v>
      </c>
      <c r="L24" s="192">
        <v>68.5</v>
      </c>
      <c r="M24" s="192">
        <v>72.25</v>
      </c>
      <c r="N24" s="192">
        <v>72.099999999999994</v>
      </c>
    </row>
    <row r="25" spans="1:14">
      <c r="A25" t="s">
        <v>466</v>
      </c>
      <c r="B25" t="s">
        <v>301</v>
      </c>
      <c r="C25" s="192">
        <v>37.89</v>
      </c>
      <c r="D25" s="192">
        <v>38.11</v>
      </c>
      <c r="E25" s="192">
        <v>37.9</v>
      </c>
      <c r="F25" s="192">
        <v>37.630000000000003</v>
      </c>
      <c r="G25" s="192">
        <v>37.71</v>
      </c>
      <c r="H25" s="192">
        <v>38</v>
      </c>
      <c r="I25" s="192">
        <v>37.53</v>
      </c>
      <c r="J25" s="192">
        <v>36.75</v>
      </c>
      <c r="K25" s="192">
        <v>36.479999999999997</v>
      </c>
      <c r="L25" s="192">
        <v>34.96</v>
      </c>
      <c r="M25" s="191">
        <v>34.46</v>
      </c>
      <c r="N25" s="191">
        <v>33.96</v>
      </c>
    </row>
    <row r="26" spans="1:14">
      <c r="A26" t="s">
        <v>460</v>
      </c>
      <c r="B26" t="s">
        <v>301</v>
      </c>
      <c r="C26" s="192">
        <v>26.5625</v>
      </c>
      <c r="D26" s="192">
        <v>27.236842105263158</v>
      </c>
      <c r="E26" s="192">
        <v>28.01</v>
      </c>
      <c r="F26" s="192">
        <v>27.29</v>
      </c>
      <c r="G26" s="192">
        <v>29.26</v>
      </c>
      <c r="H26" s="192">
        <v>29.97</v>
      </c>
      <c r="I26" s="192">
        <v>28.71</v>
      </c>
      <c r="J26" s="192">
        <v>28.43</v>
      </c>
      <c r="K26" s="192">
        <v>29.05</v>
      </c>
      <c r="L26" s="192">
        <v>27.07</v>
      </c>
      <c r="M26" s="192">
        <v>26.06</v>
      </c>
      <c r="N26" s="192">
        <v>24.2</v>
      </c>
    </row>
    <row r="27" spans="1:14">
      <c r="A27" t="s">
        <v>303</v>
      </c>
      <c r="B27" t="s">
        <v>301</v>
      </c>
      <c r="C27" s="192">
        <v>44.5625</v>
      </c>
      <c r="D27" s="192">
        <v>41.5</v>
      </c>
      <c r="E27" s="192">
        <v>39.450000000000003</v>
      </c>
      <c r="F27" s="192">
        <v>37.5625</v>
      </c>
      <c r="G27" s="192">
        <v>38.625</v>
      </c>
      <c r="H27" s="192">
        <v>38.6</v>
      </c>
      <c r="I27" s="192">
        <v>38.875</v>
      </c>
      <c r="J27" s="192">
        <v>36.375</v>
      </c>
      <c r="K27" s="192">
        <v>38.450000000000003</v>
      </c>
      <c r="L27" s="192">
        <v>37.0625</v>
      </c>
      <c r="M27" s="192">
        <v>37</v>
      </c>
      <c r="N27" s="192">
        <v>34.25</v>
      </c>
    </row>
    <row r="28" spans="1:14">
      <c r="A28" t="s">
        <v>361</v>
      </c>
      <c r="B28" t="s">
        <v>301</v>
      </c>
      <c r="C28" s="192">
        <v>30.1</v>
      </c>
      <c r="D28" s="197" t="s">
        <v>315</v>
      </c>
      <c r="E28" s="197" t="s">
        <v>315</v>
      </c>
      <c r="F28" s="197" t="s">
        <v>315</v>
      </c>
      <c r="G28" s="197" t="s">
        <v>315</v>
      </c>
      <c r="H28" s="197">
        <v>34.5</v>
      </c>
      <c r="I28" s="197" t="s">
        <v>315</v>
      </c>
      <c r="J28" s="197" t="s">
        <v>315</v>
      </c>
      <c r="K28" s="192">
        <v>35.75</v>
      </c>
      <c r="L28" s="192">
        <v>36</v>
      </c>
      <c r="M28" s="192">
        <v>38.17</v>
      </c>
      <c r="N28" s="192">
        <v>37</v>
      </c>
    </row>
    <row r="29" spans="1:14">
      <c r="A29" t="s">
        <v>304</v>
      </c>
      <c r="B29" t="s">
        <v>301</v>
      </c>
      <c r="C29" s="192">
        <v>37.75</v>
      </c>
      <c r="D29" s="192">
        <v>37.375</v>
      </c>
      <c r="E29" s="192">
        <v>35.9</v>
      </c>
      <c r="F29" s="192">
        <v>34.0625</v>
      </c>
      <c r="G29" s="192">
        <v>36.3125</v>
      </c>
      <c r="H29" s="192">
        <v>35.049999999999997</v>
      </c>
      <c r="I29" s="192">
        <v>35.1875</v>
      </c>
      <c r="J29" s="192">
        <v>35.0625</v>
      </c>
      <c r="K29" s="192">
        <v>36.4375</v>
      </c>
      <c r="L29" s="192">
        <v>36.1875</v>
      </c>
      <c r="M29" s="192">
        <v>35.4375</v>
      </c>
      <c r="N29" s="192">
        <v>33.25</v>
      </c>
    </row>
    <row r="30" spans="1:14">
      <c r="A30" t="s">
        <v>423</v>
      </c>
      <c r="B30" t="s">
        <v>301</v>
      </c>
      <c r="C30" s="192">
        <v>40.375</v>
      </c>
      <c r="D30" s="192">
        <v>39.5625</v>
      </c>
      <c r="E30" s="192">
        <v>38.5</v>
      </c>
      <c r="F30" s="192">
        <v>37.375</v>
      </c>
      <c r="G30" s="192">
        <v>39.0625</v>
      </c>
      <c r="H30" s="192">
        <v>38.299999999999997</v>
      </c>
      <c r="I30" s="192">
        <v>39</v>
      </c>
      <c r="J30" s="192">
        <v>39.625</v>
      </c>
      <c r="K30" s="192">
        <v>39.6875</v>
      </c>
      <c r="L30" s="192">
        <v>38.9375</v>
      </c>
      <c r="M30" s="192">
        <v>36.875</v>
      </c>
      <c r="N30" s="192">
        <v>45.75</v>
      </c>
    </row>
    <row r="31" spans="1:14">
      <c r="A31" t="s">
        <v>305</v>
      </c>
      <c r="B31" t="s">
        <v>301</v>
      </c>
      <c r="C31" s="192">
        <v>62.875</v>
      </c>
      <c r="D31" s="192">
        <v>63.125</v>
      </c>
      <c r="E31" s="192">
        <v>65.8</v>
      </c>
      <c r="F31" s="192">
        <v>69.6875</v>
      </c>
      <c r="G31" s="192">
        <v>70.75</v>
      </c>
      <c r="H31" s="192">
        <v>76.2</v>
      </c>
      <c r="I31" s="192">
        <v>75.75</v>
      </c>
      <c r="J31" s="192">
        <v>69.625</v>
      </c>
      <c r="K31" s="192">
        <v>66.599999999999994</v>
      </c>
      <c r="L31" s="192">
        <v>65.4375</v>
      </c>
      <c r="M31" s="192">
        <v>65</v>
      </c>
      <c r="N31" s="192">
        <v>65.2</v>
      </c>
    </row>
    <row r="32" spans="1:14">
      <c r="A32" t="s">
        <v>306</v>
      </c>
      <c r="B32" t="s">
        <v>301</v>
      </c>
      <c r="C32" s="192">
        <v>33.58</v>
      </c>
      <c r="D32" s="192">
        <v>32</v>
      </c>
      <c r="E32" s="192">
        <v>30.86</v>
      </c>
      <c r="F32" s="192">
        <v>29.57</v>
      </c>
      <c r="G32" s="192">
        <v>30.6</v>
      </c>
      <c r="H32" s="192">
        <v>30.74</v>
      </c>
      <c r="I32" s="192">
        <v>32.82</v>
      </c>
      <c r="J32" s="192">
        <v>33.17</v>
      </c>
      <c r="K32" s="192">
        <v>33.28</v>
      </c>
      <c r="L32" s="192">
        <v>32.35</v>
      </c>
      <c r="M32" s="191">
        <v>33.43</v>
      </c>
      <c r="N32" s="191">
        <v>32.270000000000003</v>
      </c>
    </row>
    <row r="33" spans="1:15">
      <c r="A33" t="s">
        <v>307</v>
      </c>
      <c r="B33" t="s">
        <v>301</v>
      </c>
      <c r="C33" s="192">
        <v>56</v>
      </c>
      <c r="D33" s="192">
        <v>55</v>
      </c>
      <c r="E33" s="192">
        <v>52</v>
      </c>
      <c r="F33" s="192">
        <v>51</v>
      </c>
      <c r="G33" s="192">
        <v>50.5</v>
      </c>
      <c r="H33" s="192">
        <v>50.8</v>
      </c>
      <c r="I33" s="192">
        <v>51.25</v>
      </c>
      <c r="J33" s="192">
        <v>52.75</v>
      </c>
      <c r="K33" s="192">
        <v>55.2</v>
      </c>
      <c r="L33" s="192">
        <v>56</v>
      </c>
      <c r="M33" s="192">
        <v>55.5</v>
      </c>
      <c r="N33" s="192">
        <v>54.8</v>
      </c>
    </row>
    <row r="34" spans="1:15">
      <c r="A34" t="s">
        <v>359</v>
      </c>
      <c r="B34" t="s">
        <v>301</v>
      </c>
      <c r="C34" s="192">
        <v>34</v>
      </c>
      <c r="D34" s="192">
        <v>34.5</v>
      </c>
      <c r="E34" s="192">
        <v>33.799999999999997</v>
      </c>
      <c r="F34" s="192">
        <v>33.5</v>
      </c>
      <c r="G34" s="192">
        <v>35.909999999999997</v>
      </c>
      <c r="H34" s="192">
        <v>36.6</v>
      </c>
      <c r="I34" s="192">
        <v>36.89</v>
      </c>
      <c r="J34" s="192">
        <v>35.78</v>
      </c>
      <c r="K34" s="192">
        <v>35.08</v>
      </c>
      <c r="L34" s="192">
        <v>32.06</v>
      </c>
      <c r="M34" s="192">
        <v>33.44</v>
      </c>
      <c r="N34" s="192">
        <v>31.63</v>
      </c>
    </row>
    <row r="35" spans="1:15">
      <c r="A35" s="107" t="s">
        <v>422</v>
      </c>
      <c r="B35" t="s">
        <v>301</v>
      </c>
      <c r="C35" s="192">
        <v>23.28</v>
      </c>
      <c r="D35" s="192">
        <v>23.53</v>
      </c>
      <c r="E35" s="192">
        <v>24</v>
      </c>
      <c r="F35" s="192">
        <v>24.69</v>
      </c>
      <c r="G35" s="192">
        <v>25.93</v>
      </c>
      <c r="H35" s="192">
        <v>27.72</v>
      </c>
      <c r="I35" s="192">
        <v>27.78</v>
      </c>
      <c r="J35" s="192">
        <v>28.05</v>
      </c>
      <c r="K35" s="192">
        <v>28.16</v>
      </c>
      <c r="L35" s="192">
        <v>25</v>
      </c>
      <c r="M35" s="192">
        <v>23.63</v>
      </c>
      <c r="N35" s="192">
        <v>19.170000000000002</v>
      </c>
      <c r="O35" s="57"/>
    </row>
    <row r="36" spans="1:15">
      <c r="A36" s="107" t="s">
        <v>418</v>
      </c>
      <c r="B36" s="107" t="s">
        <v>419</v>
      </c>
      <c r="C36" s="192">
        <v>3.15</v>
      </c>
      <c r="D36" s="192">
        <v>3.06</v>
      </c>
      <c r="E36" s="192">
        <v>3.08</v>
      </c>
      <c r="F36" s="192">
        <v>3.07</v>
      </c>
      <c r="G36" s="192">
        <v>3.21</v>
      </c>
      <c r="H36" s="192">
        <v>3.14</v>
      </c>
      <c r="I36" s="192">
        <v>3.24</v>
      </c>
      <c r="J36" s="192">
        <v>3.25</v>
      </c>
      <c r="K36" s="192">
        <v>3.26</v>
      </c>
      <c r="L36" s="192">
        <v>3.18</v>
      </c>
      <c r="M36" s="192">
        <v>3.23</v>
      </c>
      <c r="N36" s="192">
        <v>3.1</v>
      </c>
      <c r="O36" s="57"/>
    </row>
    <row r="37" spans="1:15" s="191" customFormat="1">
      <c r="A37" s="191" t="s">
        <v>308</v>
      </c>
    </row>
    <row r="38" spans="1:15">
      <c r="A38" t="s">
        <v>358</v>
      </c>
      <c r="B38" t="s">
        <v>287</v>
      </c>
      <c r="C38" s="192">
        <v>267.41000000000003</v>
      </c>
      <c r="D38" s="192">
        <v>276.89999999999998</v>
      </c>
      <c r="E38" s="192">
        <v>276.33</v>
      </c>
      <c r="F38" s="192">
        <v>270.66000000000003</v>
      </c>
      <c r="G38" s="192">
        <v>279.64</v>
      </c>
      <c r="H38" s="192">
        <v>281.66000000000003</v>
      </c>
      <c r="I38" s="192">
        <v>307.73</v>
      </c>
      <c r="J38" s="192">
        <v>289.45</v>
      </c>
      <c r="K38" s="192">
        <v>262.33</v>
      </c>
      <c r="L38" s="192">
        <v>257.73</v>
      </c>
      <c r="M38" s="192">
        <v>255.74</v>
      </c>
      <c r="N38" s="192">
        <v>266.52999999999997</v>
      </c>
    </row>
    <row r="39" spans="1:15">
      <c r="A39" t="s">
        <v>309</v>
      </c>
      <c r="B39" t="s">
        <v>301</v>
      </c>
      <c r="C39" s="192">
        <v>223.5</v>
      </c>
      <c r="D39" s="192">
        <v>221.88</v>
      </c>
      <c r="E39" s="192">
        <v>210.63</v>
      </c>
      <c r="F39" s="192">
        <v>195</v>
      </c>
      <c r="G39" s="192">
        <v>179.5</v>
      </c>
      <c r="H39" s="192">
        <v>179.38</v>
      </c>
      <c r="I39" s="192">
        <v>200.83</v>
      </c>
      <c r="J39" s="192">
        <v>198.5</v>
      </c>
      <c r="K39" s="192">
        <v>213.75</v>
      </c>
      <c r="L39" s="192">
        <v>229</v>
      </c>
      <c r="M39" s="192">
        <v>228.75</v>
      </c>
      <c r="N39" s="192">
        <v>232.5</v>
      </c>
    </row>
    <row r="40" spans="1:15">
      <c r="A40" t="s">
        <v>338</v>
      </c>
      <c r="B40" t="s">
        <v>301</v>
      </c>
      <c r="C40" s="192">
        <v>364.38</v>
      </c>
      <c r="D40" s="192">
        <v>335</v>
      </c>
      <c r="E40" s="192">
        <v>316.25</v>
      </c>
      <c r="F40" s="192">
        <v>305.625</v>
      </c>
      <c r="G40" s="192">
        <v>296</v>
      </c>
      <c r="H40" s="192">
        <v>290</v>
      </c>
      <c r="I40" s="192">
        <v>297</v>
      </c>
      <c r="J40" s="192">
        <v>299.38</v>
      </c>
      <c r="K40" s="192">
        <v>297.5</v>
      </c>
      <c r="L40" s="192">
        <v>291.25</v>
      </c>
      <c r="M40" s="192">
        <v>290</v>
      </c>
      <c r="N40" s="192">
        <v>282.63</v>
      </c>
    </row>
    <row r="41" spans="1:15">
      <c r="A41" t="s">
        <v>339</v>
      </c>
      <c r="B41" t="s">
        <v>301</v>
      </c>
      <c r="C41" s="191">
        <v>334.42</v>
      </c>
      <c r="D41" s="191">
        <v>320.33999999999997</v>
      </c>
      <c r="E41" s="191">
        <v>305.67</v>
      </c>
      <c r="F41" s="191">
        <v>307.63</v>
      </c>
      <c r="G41" s="191">
        <v>300.72000000000003</v>
      </c>
      <c r="H41" s="191">
        <v>326.04000000000002</v>
      </c>
      <c r="I41" s="191">
        <v>301.05</v>
      </c>
      <c r="J41" s="191">
        <v>307.7</v>
      </c>
      <c r="K41" s="192">
        <v>315.23</v>
      </c>
      <c r="L41" s="191">
        <v>313.52</v>
      </c>
      <c r="M41" s="191">
        <v>319.22000000000003</v>
      </c>
      <c r="N41" s="191">
        <v>322.60000000000002</v>
      </c>
    </row>
    <row r="42" spans="1:15">
      <c r="A42" t="s">
        <v>416</v>
      </c>
      <c r="B42" t="s">
        <v>301</v>
      </c>
      <c r="C42" s="192">
        <v>159</v>
      </c>
      <c r="D42" s="192">
        <v>161.88</v>
      </c>
      <c r="E42" s="192">
        <v>155</v>
      </c>
      <c r="F42" s="192">
        <v>147.5</v>
      </c>
      <c r="G42" s="192">
        <v>144</v>
      </c>
      <c r="H42" s="192">
        <v>140</v>
      </c>
      <c r="I42" s="192">
        <v>130.63</v>
      </c>
      <c r="J42" s="192">
        <v>134.5</v>
      </c>
      <c r="K42" s="192">
        <v>134.38</v>
      </c>
      <c r="L42" s="192">
        <v>153</v>
      </c>
      <c r="M42" s="192">
        <v>165</v>
      </c>
      <c r="N42" s="192">
        <v>185</v>
      </c>
    </row>
    <row r="43" spans="1:15" s="191" customFormat="1">
      <c r="A43" s="191" t="s">
        <v>415</v>
      </c>
      <c r="B43" s="191" t="s">
        <v>310</v>
      </c>
    </row>
    <row r="44" spans="1:15" s="191" customFormat="1">
      <c r="A44" s="191" t="s">
        <v>311</v>
      </c>
    </row>
    <row r="45" spans="1:15">
      <c r="A45" t="s">
        <v>312</v>
      </c>
      <c r="B45" t="s">
        <v>301</v>
      </c>
      <c r="C45" s="197" t="s">
        <v>315</v>
      </c>
      <c r="D45" s="197" t="s">
        <v>315</v>
      </c>
      <c r="E45" s="197" t="s">
        <v>315</v>
      </c>
      <c r="F45" s="197" t="s">
        <v>315</v>
      </c>
      <c r="G45" s="197" t="s">
        <v>315</v>
      </c>
      <c r="H45" s="197" t="s">
        <v>315</v>
      </c>
      <c r="I45" s="197" t="s">
        <v>315</v>
      </c>
      <c r="J45" s="197" t="s">
        <v>315</v>
      </c>
      <c r="K45" s="197" t="s">
        <v>315</v>
      </c>
      <c r="L45" s="197" t="s">
        <v>315</v>
      </c>
      <c r="M45" s="197" t="s">
        <v>315</v>
      </c>
      <c r="N45" s="197" t="s">
        <v>315</v>
      </c>
    </row>
    <row r="46" spans="1:15" s="191" customFormat="1">
      <c r="A46" s="191" t="s">
        <v>313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</row>
    <row r="47" spans="1:15">
      <c r="A47" t="s">
        <v>389</v>
      </c>
      <c r="B47" t="s">
        <v>301</v>
      </c>
      <c r="C47" s="193">
        <v>318</v>
      </c>
      <c r="D47" s="193">
        <v>318.10000000000002</v>
      </c>
      <c r="E47" s="193">
        <v>318.2</v>
      </c>
      <c r="F47" s="193">
        <v>318.5</v>
      </c>
      <c r="G47" s="193">
        <v>316.2</v>
      </c>
      <c r="H47" s="193">
        <v>322.8</v>
      </c>
      <c r="I47" s="193">
        <v>318.10000000000002</v>
      </c>
      <c r="J47" s="193">
        <v>317.3</v>
      </c>
      <c r="K47" s="193">
        <v>320.8</v>
      </c>
      <c r="L47" s="193">
        <v>311.60000000000002</v>
      </c>
      <c r="M47" s="193">
        <v>314.7</v>
      </c>
      <c r="N47" s="193">
        <v>317.2</v>
      </c>
    </row>
    <row r="48" spans="1:15">
      <c r="A48" t="s">
        <v>450</v>
      </c>
      <c r="B48" t="s">
        <v>301</v>
      </c>
      <c r="C48" s="193">
        <v>255.2</v>
      </c>
      <c r="D48" s="193">
        <v>252.9</v>
      </c>
      <c r="E48" s="193">
        <v>258.8</v>
      </c>
      <c r="F48" s="193">
        <v>257.7</v>
      </c>
      <c r="G48" s="193">
        <v>256.2</v>
      </c>
      <c r="H48" s="193">
        <v>257.2</v>
      </c>
      <c r="I48" s="193">
        <v>259.3</v>
      </c>
      <c r="J48" s="193">
        <v>254.9</v>
      </c>
      <c r="K48" s="193">
        <v>257.3</v>
      </c>
      <c r="L48" s="193">
        <v>259.3</v>
      </c>
      <c r="M48" s="193">
        <v>257.7</v>
      </c>
      <c r="N48" s="193">
        <v>256.7</v>
      </c>
    </row>
    <row r="49" spans="1:14">
      <c r="A49" t="s">
        <v>388</v>
      </c>
      <c r="B49" t="s">
        <v>301</v>
      </c>
      <c r="C49" s="193">
        <v>231.5</v>
      </c>
      <c r="D49" s="193">
        <v>225.8</v>
      </c>
      <c r="E49" s="193">
        <v>218.9</v>
      </c>
      <c r="F49" s="193">
        <v>215.2</v>
      </c>
      <c r="G49" s="193">
        <v>223.4</v>
      </c>
      <c r="H49" s="193">
        <v>222.7</v>
      </c>
      <c r="I49" s="193">
        <v>228.9</v>
      </c>
      <c r="J49" s="193">
        <v>228</v>
      </c>
      <c r="K49" s="193">
        <v>230.5</v>
      </c>
      <c r="L49" s="193">
        <v>225.9</v>
      </c>
      <c r="M49" s="193">
        <v>229.2</v>
      </c>
      <c r="N49" s="193">
        <v>222.2</v>
      </c>
    </row>
    <row r="50" spans="1:14">
      <c r="A50" s="1" t="s">
        <v>436</v>
      </c>
      <c r="B50" s="1" t="s">
        <v>437</v>
      </c>
      <c r="C50" s="198">
        <v>135.80000000000001</v>
      </c>
      <c r="D50" s="198">
        <v>136.4</v>
      </c>
      <c r="E50" s="198">
        <v>135</v>
      </c>
      <c r="F50" s="198">
        <v>136.6</v>
      </c>
      <c r="G50" s="198">
        <v>136.6</v>
      </c>
      <c r="H50" s="198">
        <v>139.9</v>
      </c>
      <c r="I50" s="198">
        <v>139.9</v>
      </c>
      <c r="J50" s="198">
        <v>140.4</v>
      </c>
      <c r="K50" s="198">
        <v>140.1</v>
      </c>
      <c r="L50" s="198">
        <v>141.19999999999999</v>
      </c>
      <c r="M50" s="198">
        <v>140.4</v>
      </c>
      <c r="N50" s="198">
        <v>142.30000000000001</v>
      </c>
    </row>
    <row r="51" spans="1:14">
      <c r="A51" s="107" t="s">
        <v>435</v>
      </c>
      <c r="N51" s="134"/>
    </row>
    <row r="52" spans="1:14">
      <c r="A52" s="107" t="s">
        <v>537</v>
      </c>
      <c r="M52" s="58"/>
    </row>
    <row r="53" spans="1:14" ht="10.199999999999999" customHeight="1">
      <c r="A53" s="107" t="s">
        <v>538</v>
      </c>
      <c r="K53" s="139"/>
      <c r="M53" s="145"/>
      <c r="N53" s="278" t="s">
        <v>679</v>
      </c>
    </row>
  </sheetData>
  <pageMargins left="0.7" right="0.7" top="0.75" bottom="0.75" header="0.3" footer="0.3"/>
  <pageSetup scale="87" firstPageNumber="66" orientation="landscape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0"/>
  <sheetViews>
    <sheetView topLeftCell="A31" zoomScaleNormal="100" zoomScaleSheetLayoutView="100" workbookViewId="0">
      <selection activeCell="A105" sqref="A105"/>
    </sheetView>
  </sheetViews>
  <sheetFormatPr defaultRowHeight="10.199999999999999"/>
  <cols>
    <col min="1" max="1" width="10.7109375" customWidth="1"/>
    <col min="2" max="10" width="11.7109375" customWidth="1"/>
    <col min="11" max="11" width="12.85546875" customWidth="1"/>
  </cols>
  <sheetData>
    <row r="1" spans="1:12">
      <c r="A1" s="136" t="s">
        <v>610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t="s">
        <v>107</v>
      </c>
      <c r="B2" s="403" t="s">
        <v>119</v>
      </c>
      <c r="C2" s="404"/>
      <c r="D2" s="404"/>
      <c r="E2" s="405"/>
      <c r="F2" s="403" t="s">
        <v>117</v>
      </c>
      <c r="G2" s="404"/>
      <c r="H2" s="404"/>
      <c r="I2" s="405"/>
      <c r="K2" s="9" t="s">
        <v>118</v>
      </c>
    </row>
    <row r="3" spans="1:12">
      <c r="A3" t="s">
        <v>100</v>
      </c>
      <c r="B3" s="363" t="s">
        <v>141</v>
      </c>
      <c r="E3" s="366"/>
      <c r="F3" s="370"/>
      <c r="H3" s="7" t="s">
        <v>174</v>
      </c>
      <c r="I3" s="366"/>
      <c r="J3" s="7" t="s">
        <v>143</v>
      </c>
      <c r="K3" s="7" t="s">
        <v>560</v>
      </c>
    </row>
    <row r="4" spans="1:12">
      <c r="A4" t="s">
        <v>175</v>
      </c>
      <c r="B4" s="364" t="s">
        <v>110</v>
      </c>
      <c r="C4" s="35" t="s">
        <v>66</v>
      </c>
      <c r="D4" s="35" t="s">
        <v>88</v>
      </c>
      <c r="E4" s="367" t="s">
        <v>176</v>
      </c>
      <c r="F4" s="364" t="s">
        <v>111</v>
      </c>
      <c r="G4" s="7" t="s">
        <v>90</v>
      </c>
      <c r="H4" s="7" t="s">
        <v>113</v>
      </c>
      <c r="I4" s="367" t="s">
        <v>3</v>
      </c>
      <c r="J4" s="7" t="s">
        <v>110</v>
      </c>
      <c r="K4" s="7" t="s">
        <v>114</v>
      </c>
    </row>
    <row r="5" spans="1:12">
      <c r="A5" s="1"/>
      <c r="B5" s="365"/>
      <c r="C5" s="1"/>
      <c r="D5" s="1"/>
      <c r="E5" s="368"/>
      <c r="F5" s="371"/>
      <c r="G5" s="9"/>
      <c r="H5" s="9" t="s">
        <v>177</v>
      </c>
      <c r="I5" s="369"/>
      <c r="J5" s="1"/>
      <c r="K5" s="9" t="s">
        <v>168</v>
      </c>
    </row>
    <row r="6" spans="1:12">
      <c r="C6" s="272"/>
      <c r="D6" s="272"/>
      <c r="E6" s="272"/>
      <c r="F6" s="272" t="s">
        <v>451</v>
      </c>
      <c r="G6" s="272"/>
      <c r="H6" s="272"/>
      <c r="I6" s="272"/>
      <c r="J6" s="272"/>
      <c r="K6" s="7" t="s">
        <v>452</v>
      </c>
    </row>
    <row r="7" spans="1:12">
      <c r="B7" s="156"/>
      <c r="C7" s="156"/>
      <c r="D7" s="156"/>
      <c r="E7" s="156"/>
      <c r="F7" s="156"/>
      <c r="G7" s="156"/>
      <c r="H7" s="156"/>
      <c r="I7" s="156"/>
      <c r="J7" s="156"/>
      <c r="K7" s="7"/>
    </row>
    <row r="8" spans="1:12">
      <c r="A8" s="10">
        <v>1980</v>
      </c>
      <c r="B8" s="36">
        <v>358</v>
      </c>
      <c r="C8" s="36">
        <f>+'tab02'!E26/1000</f>
        <v>1797.5429999999999</v>
      </c>
      <c r="D8" s="36">
        <v>0</v>
      </c>
      <c r="E8" s="74">
        <f t="shared" ref="E8:E44" si="0">+B8+C8+D8</f>
        <v>2155.5429999999997</v>
      </c>
      <c r="F8" s="36">
        <v>1020</v>
      </c>
      <c r="G8" s="36">
        <v>724</v>
      </c>
      <c r="H8" s="36">
        <f t="shared" ref="H8:H29" si="1">+I8-F8-G8</f>
        <v>98.535999999999603</v>
      </c>
      <c r="I8" s="36">
        <f t="shared" ref="I8:I46" si="2">+E8-J8</f>
        <v>1842.5359999999996</v>
      </c>
      <c r="J8" s="36">
        <v>313.00700000000001</v>
      </c>
      <c r="K8" s="31">
        <v>7.57</v>
      </c>
    </row>
    <row r="9" spans="1:12">
      <c r="A9" s="10">
        <v>1981</v>
      </c>
      <c r="B9" s="36">
        <f t="shared" ref="B9:B29" si="3">+J8</f>
        <v>313.00700000000001</v>
      </c>
      <c r="C9" s="36">
        <f>+'tab02'!E27/1000</f>
        <v>1989.11</v>
      </c>
      <c r="D9" s="36">
        <v>0</v>
      </c>
      <c r="E9" s="74">
        <f t="shared" si="0"/>
        <v>2302.1169999999997</v>
      </c>
      <c r="F9" s="36">
        <v>1030</v>
      </c>
      <c r="G9" s="36">
        <v>929</v>
      </c>
      <c r="H9" s="36">
        <f t="shared" si="1"/>
        <v>88.605999999999767</v>
      </c>
      <c r="I9" s="36">
        <f t="shared" si="2"/>
        <v>2047.6059999999998</v>
      </c>
      <c r="J9" s="36">
        <v>254.511</v>
      </c>
      <c r="K9" s="31">
        <v>6.07</v>
      </c>
      <c r="L9" s="36"/>
    </row>
    <row r="10" spans="1:12">
      <c r="A10" s="10">
        <v>1982</v>
      </c>
      <c r="B10" s="36">
        <f t="shared" si="3"/>
        <v>254.511</v>
      </c>
      <c r="C10" s="36">
        <f>+'tab02'!E28/1000</f>
        <v>2190.297</v>
      </c>
      <c r="D10" s="36">
        <v>0</v>
      </c>
      <c r="E10" s="74">
        <f t="shared" si="0"/>
        <v>2444.808</v>
      </c>
      <c r="F10" s="36">
        <v>1108</v>
      </c>
      <c r="G10" s="36">
        <v>905</v>
      </c>
      <c r="H10" s="36">
        <f t="shared" si="1"/>
        <v>87.173999999999978</v>
      </c>
      <c r="I10" s="36">
        <f t="shared" si="2"/>
        <v>2100.174</v>
      </c>
      <c r="J10" s="36">
        <v>344.63400000000001</v>
      </c>
      <c r="K10" s="31">
        <v>5.71</v>
      </c>
      <c r="L10" s="36"/>
    </row>
    <row r="11" spans="1:12">
      <c r="A11" s="10">
        <v>1983</v>
      </c>
      <c r="B11" s="36">
        <f t="shared" si="3"/>
        <v>344.63400000000001</v>
      </c>
      <c r="C11" s="36">
        <f>+'tab02'!E29/1000</f>
        <v>1635.7719999999999</v>
      </c>
      <c r="D11" s="36">
        <v>0</v>
      </c>
      <c r="E11" s="74">
        <f t="shared" si="0"/>
        <v>1980.4059999999999</v>
      </c>
      <c r="F11" s="36">
        <v>983</v>
      </c>
      <c r="G11" s="36">
        <v>743</v>
      </c>
      <c r="H11" s="36">
        <f t="shared" si="1"/>
        <v>78.710000000000036</v>
      </c>
      <c r="I11" s="36">
        <f t="shared" si="2"/>
        <v>1804.71</v>
      </c>
      <c r="J11" s="36">
        <v>175.696</v>
      </c>
      <c r="K11" s="31">
        <v>7.83</v>
      </c>
      <c r="L11" s="36"/>
    </row>
    <row r="12" spans="1:12">
      <c r="A12" s="10">
        <v>1984</v>
      </c>
      <c r="B12" s="36">
        <f t="shared" si="3"/>
        <v>175.696</v>
      </c>
      <c r="C12" s="36">
        <f>+'tab02'!E30/1000</f>
        <v>1860.8630000000001</v>
      </c>
      <c r="D12" s="36">
        <v>0</v>
      </c>
      <c r="E12" s="74">
        <f t="shared" si="0"/>
        <v>2036.559</v>
      </c>
      <c r="F12" s="36">
        <v>1030</v>
      </c>
      <c r="G12" s="36">
        <v>598</v>
      </c>
      <c r="H12" s="36">
        <f t="shared" si="1"/>
        <v>92.501999999999953</v>
      </c>
      <c r="I12" s="36">
        <f t="shared" si="2"/>
        <v>1720.502</v>
      </c>
      <c r="J12" s="36">
        <v>316.05700000000002</v>
      </c>
      <c r="K12" s="31">
        <v>5.84</v>
      </c>
      <c r="L12" s="36"/>
    </row>
    <row r="13" spans="1:12">
      <c r="A13" s="10">
        <v>1985</v>
      </c>
      <c r="B13" s="36">
        <f t="shared" si="3"/>
        <v>316.05700000000002</v>
      </c>
      <c r="C13" s="36">
        <f>+'tab02'!E31/1000</f>
        <v>2099.056</v>
      </c>
      <c r="D13" s="36">
        <v>1</v>
      </c>
      <c r="E13" s="74">
        <f t="shared" si="0"/>
        <v>2416.1130000000003</v>
      </c>
      <c r="F13" s="36">
        <v>1053</v>
      </c>
      <c r="G13" s="36">
        <v>741</v>
      </c>
      <c r="H13" s="36">
        <f t="shared" si="1"/>
        <v>85.748000000000275</v>
      </c>
      <c r="I13" s="36">
        <f t="shared" si="2"/>
        <v>1879.7480000000003</v>
      </c>
      <c r="J13" s="36">
        <v>536.36500000000001</v>
      </c>
      <c r="K13" s="31">
        <v>5.05</v>
      </c>
      <c r="L13" s="36"/>
    </row>
    <row r="14" spans="1:12">
      <c r="A14" s="10">
        <v>1986</v>
      </c>
      <c r="B14" s="36">
        <f t="shared" si="3"/>
        <v>536.36500000000001</v>
      </c>
      <c r="C14" s="36">
        <f>+'tab02'!E32/1000</f>
        <v>1942.558</v>
      </c>
      <c r="D14" s="36">
        <v>0</v>
      </c>
      <c r="E14" s="74">
        <f t="shared" si="0"/>
        <v>2478.9229999999998</v>
      </c>
      <c r="F14" s="36">
        <v>1179</v>
      </c>
      <c r="G14" s="36">
        <v>757</v>
      </c>
      <c r="H14" s="36">
        <f t="shared" si="1"/>
        <v>106.47599999999966</v>
      </c>
      <c r="I14" s="36">
        <f t="shared" si="2"/>
        <v>2042.4759999999997</v>
      </c>
      <c r="J14" s="36">
        <v>436.447</v>
      </c>
      <c r="K14" s="31">
        <v>4.78</v>
      </c>
      <c r="L14" s="36"/>
    </row>
    <row r="15" spans="1:12">
      <c r="A15" s="10">
        <v>1987</v>
      </c>
      <c r="B15" s="36">
        <f t="shared" si="3"/>
        <v>436.447</v>
      </c>
      <c r="C15" s="36">
        <f>+'tab02'!E33/1000</f>
        <v>1937.722</v>
      </c>
      <c r="D15" s="36">
        <v>1</v>
      </c>
      <c r="E15" s="74">
        <f t="shared" si="0"/>
        <v>2375.1689999999999</v>
      </c>
      <c r="F15" s="36">
        <v>1174</v>
      </c>
      <c r="G15" s="36">
        <v>804</v>
      </c>
      <c r="H15" s="36">
        <f t="shared" si="1"/>
        <v>94.692999999999756</v>
      </c>
      <c r="I15" s="36">
        <f t="shared" si="2"/>
        <v>2072.6929999999998</v>
      </c>
      <c r="J15" s="36">
        <v>302.476</v>
      </c>
      <c r="K15" s="31">
        <v>5.88</v>
      </c>
      <c r="L15" s="36"/>
    </row>
    <row r="16" spans="1:12">
      <c r="A16" s="10">
        <v>1988</v>
      </c>
      <c r="B16" s="36">
        <f t="shared" si="3"/>
        <v>302.476</v>
      </c>
      <c r="C16" s="36">
        <f>+'tab02'!E34/1000</f>
        <v>1548.8409999999999</v>
      </c>
      <c r="D16" s="36">
        <v>4</v>
      </c>
      <c r="E16" s="74">
        <f t="shared" si="0"/>
        <v>1855.317</v>
      </c>
      <c r="F16" s="36">
        <v>1058</v>
      </c>
      <c r="G16" s="36">
        <v>527</v>
      </c>
      <c r="H16" s="36">
        <f t="shared" si="1"/>
        <v>88.288000000000011</v>
      </c>
      <c r="I16" s="36">
        <f t="shared" si="2"/>
        <v>1673.288</v>
      </c>
      <c r="J16" s="36">
        <v>182.029</v>
      </c>
      <c r="K16" s="31">
        <v>7.42</v>
      </c>
      <c r="L16" s="36"/>
    </row>
    <row r="17" spans="1:12">
      <c r="A17" s="10">
        <v>1989</v>
      </c>
      <c r="B17" s="36">
        <f t="shared" si="3"/>
        <v>182.029</v>
      </c>
      <c r="C17" s="36">
        <f>+'tab02'!E35/1000</f>
        <v>1923.6659999999999</v>
      </c>
      <c r="D17" s="36">
        <v>1</v>
      </c>
      <c r="E17" s="74">
        <f t="shared" si="0"/>
        <v>2106.6949999999997</v>
      </c>
      <c r="F17" s="36">
        <v>1146</v>
      </c>
      <c r="G17" s="36">
        <v>622</v>
      </c>
      <c r="H17" s="36">
        <f t="shared" si="1"/>
        <v>99.555999999999585</v>
      </c>
      <c r="I17" s="36">
        <f t="shared" si="2"/>
        <v>1867.5559999999996</v>
      </c>
      <c r="J17" s="36">
        <v>239.13900000000001</v>
      </c>
      <c r="K17" s="31">
        <v>5.69</v>
      </c>
      <c r="L17" s="36"/>
    </row>
    <row r="18" spans="1:12">
      <c r="A18" s="10">
        <v>1990</v>
      </c>
      <c r="B18" s="36">
        <f t="shared" si="3"/>
        <v>239.13900000000001</v>
      </c>
      <c r="C18" s="36">
        <f>+'tab02'!E36/1000</f>
        <v>1925.9469999999999</v>
      </c>
      <c r="D18" s="36">
        <v>3</v>
      </c>
      <c r="E18" s="74">
        <f t="shared" si="0"/>
        <v>2168.0859999999998</v>
      </c>
      <c r="F18" s="36">
        <v>1187</v>
      </c>
      <c r="G18" s="36">
        <v>557</v>
      </c>
      <c r="H18" s="36">
        <f t="shared" si="1"/>
        <v>95.043999999999869</v>
      </c>
      <c r="I18" s="36">
        <f t="shared" si="2"/>
        <v>1839.0439999999999</v>
      </c>
      <c r="J18" s="36">
        <v>329.04199999999997</v>
      </c>
      <c r="K18" s="31">
        <v>5.74</v>
      </c>
      <c r="L18" s="36"/>
    </row>
    <row r="19" spans="1:12">
      <c r="A19" s="10">
        <v>1991</v>
      </c>
      <c r="B19" s="36">
        <f t="shared" si="3"/>
        <v>329.04199999999997</v>
      </c>
      <c r="C19" s="36">
        <f>+'tab02'!E37/1000</f>
        <v>1986.539</v>
      </c>
      <c r="D19" s="36">
        <v>3</v>
      </c>
      <c r="E19" s="74">
        <f t="shared" si="0"/>
        <v>2318.5810000000001</v>
      </c>
      <c r="F19" s="36">
        <v>1254</v>
      </c>
      <c r="G19" s="36">
        <v>684</v>
      </c>
      <c r="H19" s="36">
        <f t="shared" si="1"/>
        <v>102.14400000000023</v>
      </c>
      <c r="I19" s="36">
        <f t="shared" si="2"/>
        <v>2040.1440000000002</v>
      </c>
      <c r="J19" s="36">
        <v>278.43700000000001</v>
      </c>
      <c r="K19" s="31">
        <v>5.58</v>
      </c>
      <c r="L19" s="36"/>
    </row>
    <row r="20" spans="1:12">
      <c r="A20" s="10">
        <v>1992</v>
      </c>
      <c r="B20" s="36">
        <f t="shared" si="3"/>
        <v>278.43700000000001</v>
      </c>
      <c r="C20" s="36">
        <f>+'tab02'!E38/1000</f>
        <v>2190.3539999999998</v>
      </c>
      <c r="D20" s="36">
        <v>2.0567152327931999</v>
      </c>
      <c r="E20" s="74">
        <f t="shared" si="0"/>
        <v>2470.8477152327928</v>
      </c>
      <c r="F20" s="36">
        <v>1279</v>
      </c>
      <c r="G20" s="36">
        <v>771</v>
      </c>
      <c r="H20" s="36">
        <f t="shared" si="1"/>
        <v>128.56371523279267</v>
      </c>
      <c r="I20" s="36">
        <f t="shared" si="2"/>
        <v>2178.5637152327927</v>
      </c>
      <c r="J20" s="36">
        <v>292.28399999999999</v>
      </c>
      <c r="K20" s="31">
        <v>5.56</v>
      </c>
      <c r="L20" s="36"/>
    </row>
    <row r="21" spans="1:12">
      <c r="A21" s="10">
        <v>1993</v>
      </c>
      <c r="B21" s="36">
        <f t="shared" si="3"/>
        <v>292.28399999999999</v>
      </c>
      <c r="C21" s="36">
        <f>+'tab02'!E39/1000</f>
        <v>1869.7180000000001</v>
      </c>
      <c r="D21" s="36">
        <v>6.4164705762675007</v>
      </c>
      <c r="E21" s="74">
        <f t="shared" si="0"/>
        <v>2168.4184705762673</v>
      </c>
      <c r="F21" s="36">
        <v>1276</v>
      </c>
      <c r="G21" s="36">
        <v>588</v>
      </c>
      <c r="H21" s="36">
        <f t="shared" si="1"/>
        <v>95.30147057626732</v>
      </c>
      <c r="I21" s="36">
        <f t="shared" si="2"/>
        <v>1959.3014705762673</v>
      </c>
      <c r="J21" s="36">
        <v>209.11699999999999</v>
      </c>
      <c r="K21" s="31">
        <v>6.4</v>
      </c>
      <c r="L21" s="36"/>
    </row>
    <row r="22" spans="1:12">
      <c r="A22" s="10">
        <v>1994</v>
      </c>
      <c r="B22" s="36">
        <f t="shared" si="3"/>
        <v>209.11699999999999</v>
      </c>
      <c r="C22" s="36">
        <f>+'tab02'!E40/1000</f>
        <v>2514.8690000000001</v>
      </c>
      <c r="D22" s="36">
        <v>5.4799449460455003</v>
      </c>
      <c r="E22" s="74">
        <f t="shared" si="0"/>
        <v>2729.465944946046</v>
      </c>
      <c r="F22" s="36">
        <v>1405</v>
      </c>
      <c r="G22" s="36">
        <v>840</v>
      </c>
      <c r="H22" s="36">
        <f t="shared" si="1"/>
        <v>149.65194494604611</v>
      </c>
      <c r="I22" s="36">
        <f t="shared" si="2"/>
        <v>2394.6519449460461</v>
      </c>
      <c r="J22" s="36">
        <v>334.81400000000002</v>
      </c>
      <c r="K22" s="31">
        <v>5.48</v>
      </c>
      <c r="L22" s="36"/>
    </row>
    <row r="23" spans="1:12">
      <c r="A23" s="10">
        <v>1995</v>
      </c>
      <c r="B23" s="36">
        <f t="shared" si="3"/>
        <v>334.81400000000002</v>
      </c>
      <c r="C23" s="36">
        <f>+'tab02'!E41/1000</f>
        <v>2174.2539999999999</v>
      </c>
      <c r="D23" s="36">
        <v>4.4558110914512996</v>
      </c>
      <c r="E23" s="74">
        <f t="shared" si="0"/>
        <v>2513.5238110914511</v>
      </c>
      <c r="F23" s="36">
        <v>1370</v>
      </c>
      <c r="G23" s="36">
        <v>849</v>
      </c>
      <c r="H23" s="36">
        <f t="shared" si="1"/>
        <v>111.065811091451</v>
      </c>
      <c r="I23" s="36">
        <f t="shared" si="2"/>
        <v>2330.065811091451</v>
      </c>
      <c r="J23" s="36">
        <v>183.458</v>
      </c>
      <c r="K23" s="31">
        <v>6.72</v>
      </c>
      <c r="L23" s="36"/>
    </row>
    <row r="24" spans="1:12">
      <c r="A24" s="10">
        <v>1996</v>
      </c>
      <c r="B24" s="36">
        <f t="shared" si="3"/>
        <v>183.458</v>
      </c>
      <c r="C24" s="36">
        <f>+'tab02'!E42/1000</f>
        <v>2380.2739999999999</v>
      </c>
      <c r="D24" s="36">
        <v>8.9039324246229015</v>
      </c>
      <c r="E24" s="74">
        <f t="shared" si="0"/>
        <v>2572.6359324246228</v>
      </c>
      <c r="F24" s="36">
        <v>1436</v>
      </c>
      <c r="G24" s="36">
        <v>886</v>
      </c>
      <c r="H24" s="36">
        <f t="shared" si="1"/>
        <v>118.80293242462267</v>
      </c>
      <c r="I24" s="36">
        <f t="shared" si="2"/>
        <v>2440.8029324246227</v>
      </c>
      <c r="J24" s="36">
        <v>131.833</v>
      </c>
      <c r="K24" s="31">
        <v>7.35</v>
      </c>
      <c r="L24" s="36"/>
    </row>
    <row r="25" spans="1:12">
      <c r="A25" s="10">
        <v>1997</v>
      </c>
      <c r="B25" s="36">
        <f t="shared" si="3"/>
        <v>131.833</v>
      </c>
      <c r="C25" s="36">
        <f>+'tab02'!E43/1000</f>
        <v>2688.75</v>
      </c>
      <c r="D25" s="36">
        <v>5.0059507383774005</v>
      </c>
      <c r="E25" s="74">
        <f t="shared" si="0"/>
        <v>2825.5889507383777</v>
      </c>
      <c r="F25" s="36">
        <v>1597</v>
      </c>
      <c r="G25" s="36">
        <v>874</v>
      </c>
      <c r="H25" s="36">
        <f t="shared" si="1"/>
        <v>154.78995073837768</v>
      </c>
      <c r="I25" s="36">
        <f t="shared" si="2"/>
        <v>2625.7899507383777</v>
      </c>
      <c r="J25" s="36">
        <v>199.79900000000001</v>
      </c>
      <c r="K25" s="31">
        <v>6.47</v>
      </c>
      <c r="L25" s="36"/>
    </row>
    <row r="26" spans="1:12">
      <c r="A26" s="10">
        <v>1998</v>
      </c>
      <c r="B26" s="36">
        <f t="shared" si="3"/>
        <v>199.79900000000001</v>
      </c>
      <c r="C26" s="36">
        <f>+'tab02'!E44/1000</f>
        <v>2741.0140000000001</v>
      </c>
      <c r="D26" s="36">
        <v>3.5211952517805001</v>
      </c>
      <c r="E26" s="74">
        <f t="shared" si="0"/>
        <v>2944.3341952517808</v>
      </c>
      <c r="F26" s="36">
        <v>1590</v>
      </c>
      <c r="G26" s="36">
        <v>805</v>
      </c>
      <c r="H26" s="36">
        <f t="shared" si="1"/>
        <v>200.85219525178081</v>
      </c>
      <c r="I26" s="36">
        <f t="shared" si="2"/>
        <v>2595.8521952517808</v>
      </c>
      <c r="J26" s="36">
        <v>348.48200000000003</v>
      </c>
      <c r="K26" s="31">
        <v>4.93</v>
      </c>
      <c r="L26" s="36"/>
    </row>
    <row r="27" spans="1:12">
      <c r="A27" s="10">
        <v>1999</v>
      </c>
      <c r="B27" s="36">
        <f t="shared" si="3"/>
        <v>348.48200000000003</v>
      </c>
      <c r="C27" s="36">
        <f>+'tab02'!E45/1000</f>
        <v>2653.7579999999998</v>
      </c>
      <c r="D27" s="36">
        <v>4.1711473593153006</v>
      </c>
      <c r="E27" s="74">
        <f t="shared" si="0"/>
        <v>3006.4111473593152</v>
      </c>
      <c r="F27" s="36">
        <v>1578</v>
      </c>
      <c r="G27" s="36">
        <v>973</v>
      </c>
      <c r="H27" s="36">
        <f t="shared" si="1"/>
        <v>165.24914735931543</v>
      </c>
      <c r="I27" s="36">
        <f t="shared" si="2"/>
        <v>2716.2491473593154</v>
      </c>
      <c r="J27" s="36">
        <f>+'tab01'!D8/1000</f>
        <v>290.16199999999998</v>
      </c>
      <c r="K27" s="31">
        <v>4.63</v>
      </c>
      <c r="L27" s="36"/>
    </row>
    <row r="28" spans="1:12">
      <c r="A28" s="10">
        <v>2000</v>
      </c>
      <c r="B28" s="36">
        <f t="shared" si="3"/>
        <v>290.16199999999998</v>
      </c>
      <c r="C28" s="36">
        <f>+'tab02'!E46/1000</f>
        <v>2757.81</v>
      </c>
      <c r="D28" s="36">
        <v>3.5678253219336002</v>
      </c>
      <c r="E28" s="74">
        <f t="shared" si="0"/>
        <v>3051.5398253219332</v>
      </c>
      <c r="F28" s="74">
        <f>'tab6'!F12/1000</f>
        <v>1639.67</v>
      </c>
      <c r="G28" s="74">
        <f>'tab6'!G12/1000</f>
        <v>995.87118845340001</v>
      </c>
      <c r="H28" s="36">
        <f t="shared" si="1"/>
        <v>168.2516368685333</v>
      </c>
      <c r="I28" s="36">
        <f t="shared" si="2"/>
        <v>2803.7928253219334</v>
      </c>
      <c r="J28" s="74">
        <f>+'tab01'!D13/1000</f>
        <v>247.74700000000001</v>
      </c>
      <c r="K28" s="31">
        <v>4.54</v>
      </c>
      <c r="L28" s="36"/>
    </row>
    <row r="29" spans="1:12">
      <c r="A29" s="62">
        <v>2001</v>
      </c>
      <c r="B29" s="36">
        <f t="shared" si="3"/>
        <v>247.74700000000001</v>
      </c>
      <c r="C29" s="36">
        <f>+'tab02'!E47/1000</f>
        <v>2890.6819999999998</v>
      </c>
      <c r="D29" s="36">
        <v>2.3197743674594999</v>
      </c>
      <c r="E29" s="74">
        <f t="shared" si="0"/>
        <v>3140.7487743674592</v>
      </c>
      <c r="F29" s="36">
        <f>'tab6'!F19/1000</f>
        <v>1699.7408</v>
      </c>
      <c r="G29" s="36">
        <f>'tab6'!G19/1000</f>
        <v>1063.6514467383001</v>
      </c>
      <c r="H29" s="36">
        <f t="shared" si="1"/>
        <v>169.29552762915887</v>
      </c>
      <c r="I29" s="36">
        <f t="shared" si="2"/>
        <v>2932.687774367459</v>
      </c>
      <c r="J29" s="36">
        <f>+'tab01'!D18/1000</f>
        <v>208.06100000000001</v>
      </c>
      <c r="K29" s="31">
        <v>4.38</v>
      </c>
      <c r="L29" s="36"/>
    </row>
    <row r="30" spans="1:12">
      <c r="A30" s="62">
        <v>2002</v>
      </c>
      <c r="B30" s="36">
        <f t="shared" ref="B30:B35" si="4">+J29</f>
        <v>208.06100000000001</v>
      </c>
      <c r="C30" s="36">
        <f>+'tab02'!E48/1000</f>
        <v>2756.1469999999999</v>
      </c>
      <c r="D30" s="36">
        <v>4.6609782486581999</v>
      </c>
      <c r="E30" s="74">
        <f t="shared" si="0"/>
        <v>2968.8689782486581</v>
      </c>
      <c r="F30" s="36">
        <f>'tab6'!F26/1000</f>
        <v>1614.7874333333334</v>
      </c>
      <c r="G30" s="36">
        <f>'tab6'!G26/1000</f>
        <v>1044.3721008357002</v>
      </c>
      <c r="H30" s="36">
        <f t="shared" ref="H30:H35" si="5">+I30-F30-G30</f>
        <v>131.38044407962434</v>
      </c>
      <c r="I30" s="36">
        <f t="shared" si="2"/>
        <v>2790.5399782486579</v>
      </c>
      <c r="J30" s="36">
        <f>+'tab01'!D23/1000</f>
        <v>178.32900000000001</v>
      </c>
      <c r="K30" s="31">
        <v>5.53</v>
      </c>
      <c r="L30" s="36"/>
    </row>
    <row r="31" spans="1:12">
      <c r="A31" s="62">
        <v>2003</v>
      </c>
      <c r="B31" s="36">
        <f t="shared" si="4"/>
        <v>178.32900000000001</v>
      </c>
      <c r="C31" s="36">
        <f>+'tab02'!E49/1000</f>
        <v>2453.8449999999998</v>
      </c>
      <c r="D31" s="36">
        <v>5.5615535121069</v>
      </c>
      <c r="E31" s="74">
        <f t="shared" si="0"/>
        <v>2637.7355535121069</v>
      </c>
      <c r="F31" s="36">
        <f>'tab6'!F33/1000</f>
        <v>1529.6987333333334</v>
      </c>
      <c r="G31" s="36">
        <f>'tab6'!G33/1000</f>
        <v>886.55056059570006</v>
      </c>
      <c r="H31" s="36">
        <f t="shared" si="5"/>
        <v>109.07225958307322</v>
      </c>
      <c r="I31" s="36">
        <f t="shared" si="2"/>
        <v>2525.3215535121067</v>
      </c>
      <c r="J31" s="36">
        <f>+'tab01'!D28/1000</f>
        <v>112.414</v>
      </c>
      <c r="K31" s="31">
        <v>7.34</v>
      </c>
      <c r="L31" s="36"/>
    </row>
    <row r="32" spans="1:12">
      <c r="A32" s="62">
        <v>2004</v>
      </c>
      <c r="B32" s="36">
        <f t="shared" si="4"/>
        <v>112.414</v>
      </c>
      <c r="C32" s="36">
        <f>+'tab02'!E50/1000</f>
        <v>3123.79</v>
      </c>
      <c r="D32" s="36">
        <v>5.5775644691508006</v>
      </c>
      <c r="E32" s="74">
        <f t="shared" si="0"/>
        <v>3241.7815644691509</v>
      </c>
      <c r="F32" s="36">
        <f>'tab6'!F40/1000</f>
        <v>1696.0812333333333</v>
      </c>
      <c r="G32" s="36">
        <f>'tab6'!G40/1000</f>
        <v>1097.1562998144</v>
      </c>
      <c r="H32" s="36">
        <f t="shared" si="5"/>
        <v>192.80603132141778</v>
      </c>
      <c r="I32" s="36">
        <f t="shared" si="2"/>
        <v>2986.0435644691511</v>
      </c>
      <c r="J32" s="36">
        <f>'tab01'!D33/1000</f>
        <v>255.738</v>
      </c>
      <c r="K32" s="31">
        <v>5.74</v>
      </c>
      <c r="L32" s="36"/>
    </row>
    <row r="33" spans="1:12">
      <c r="A33" s="62">
        <v>2005</v>
      </c>
      <c r="B33" s="36">
        <f t="shared" si="4"/>
        <v>255.738</v>
      </c>
      <c r="C33" s="36">
        <f>+'tab02'!E51/1000</f>
        <v>3068.3420000000001</v>
      </c>
      <c r="D33" s="36">
        <v>3.3720085912715998</v>
      </c>
      <c r="E33" s="74">
        <f t="shared" si="0"/>
        <v>3327.4520085912714</v>
      </c>
      <c r="F33" s="36">
        <f>'tab6'!F47/1000</f>
        <v>1738.8517333333334</v>
      </c>
      <c r="G33" s="36">
        <f>'tab6'!G47/1000</f>
        <v>939.87875005290005</v>
      </c>
      <c r="H33" s="36">
        <f t="shared" si="5"/>
        <v>199.39552520503787</v>
      </c>
      <c r="I33" s="36">
        <f t="shared" si="2"/>
        <v>2878.1260085912713</v>
      </c>
      <c r="J33" s="36">
        <f>'tab01'!D38/1000</f>
        <v>449.32600000000002</v>
      </c>
      <c r="K33" s="31">
        <v>5.66</v>
      </c>
      <c r="L33" s="36"/>
    </row>
    <row r="34" spans="1:12">
      <c r="A34" s="62">
        <v>2006</v>
      </c>
      <c r="B34" s="36">
        <f t="shared" si="4"/>
        <v>449.32600000000002</v>
      </c>
      <c r="C34" s="36">
        <f>+'tab02'!E52/1000</f>
        <v>3196.7260000000001</v>
      </c>
      <c r="D34" s="36">
        <v>9.0337511501685004</v>
      </c>
      <c r="E34" s="74">
        <f t="shared" si="0"/>
        <v>3655.0857511501686</v>
      </c>
      <c r="F34" s="36">
        <f>'tab6'!F54/1000</f>
        <v>1807.7056423333333</v>
      </c>
      <c r="G34" s="36">
        <f>'tab6'!G54/1000</f>
        <v>1116.4958686412999</v>
      </c>
      <c r="H34" s="36">
        <f t="shared" si="5"/>
        <v>157.07424017553535</v>
      </c>
      <c r="I34" s="36">
        <f t="shared" si="2"/>
        <v>3081.2757511501686</v>
      </c>
      <c r="J34" s="36">
        <f>'tab01'!D43/1000</f>
        <v>573.80999999999995</v>
      </c>
      <c r="K34" s="31">
        <v>6.43</v>
      </c>
      <c r="L34" s="36"/>
    </row>
    <row r="35" spans="1:12">
      <c r="A35" s="62">
        <v>2007</v>
      </c>
      <c r="B35" s="36">
        <f t="shared" si="4"/>
        <v>573.80999999999995</v>
      </c>
      <c r="C35" s="36">
        <f>+'tab02'!E53/1000</f>
        <v>2677.1170000000002</v>
      </c>
      <c r="D35" s="36">
        <v>9.8708029129773003</v>
      </c>
      <c r="E35" s="74">
        <f t="shared" si="0"/>
        <v>3260.7978029129777</v>
      </c>
      <c r="F35" s="36">
        <f>'tab6'!F61/1000</f>
        <v>1803.4073376666665</v>
      </c>
      <c r="G35" s="36">
        <f>'tab6'!G61/1000</f>
        <v>1158.8290570290001</v>
      </c>
      <c r="H35" s="36">
        <f t="shared" si="5"/>
        <v>93.527408217310949</v>
      </c>
      <c r="I35" s="36">
        <f t="shared" si="2"/>
        <v>3055.7638029129776</v>
      </c>
      <c r="J35" s="36">
        <f>'tab01'!D48/1000</f>
        <v>205.03399999999999</v>
      </c>
      <c r="K35" s="31">
        <v>10.1</v>
      </c>
      <c r="L35" s="36"/>
    </row>
    <row r="36" spans="1:12">
      <c r="A36" s="62">
        <v>2008</v>
      </c>
      <c r="B36" s="36">
        <f t="shared" ref="B36:B41" si="6">+J35</f>
        <v>205.03399999999999</v>
      </c>
      <c r="C36" s="36">
        <f>+'tab02'!E54/1000</f>
        <v>2967.0070000000001</v>
      </c>
      <c r="D36" s="36">
        <v>13.2631296312942</v>
      </c>
      <c r="E36" s="74">
        <f t="shared" si="0"/>
        <v>3185.3041296312945</v>
      </c>
      <c r="F36" s="36">
        <f>'tab6'!F68/1000</f>
        <v>1661.9220666666665</v>
      </c>
      <c r="G36" s="36">
        <f>'tab6'!G68/1000</f>
        <v>1279.2935714286</v>
      </c>
      <c r="H36" s="36">
        <f t="shared" ref="H36:H41" si="7">+I36-F36-G36</f>
        <v>105.89049153602809</v>
      </c>
      <c r="I36" s="36">
        <f t="shared" si="2"/>
        <v>3047.1061296312946</v>
      </c>
      <c r="J36" s="36">
        <f>'tab01'!D53/1000</f>
        <v>138.19800000000001</v>
      </c>
      <c r="K36" s="31">
        <v>9.9700000000000006</v>
      </c>
      <c r="L36" s="36"/>
    </row>
    <row r="37" spans="1:12">
      <c r="A37" s="62">
        <v>2009</v>
      </c>
      <c r="B37" s="36">
        <f t="shared" si="6"/>
        <v>138.19800000000001</v>
      </c>
      <c r="C37" s="36">
        <f>+'tab02'!E55/1000</f>
        <v>3360.931</v>
      </c>
      <c r="D37" s="36">
        <v>14.5881068286513</v>
      </c>
      <c r="E37" s="74">
        <f t="shared" si="0"/>
        <v>3513.7171068286511</v>
      </c>
      <c r="F37" s="36">
        <f>'tab6'!F75/1000</f>
        <v>1751.6862683333336</v>
      </c>
      <c r="G37" s="36">
        <f>'tab6'!G75/1000</f>
        <v>1499.0481245103001</v>
      </c>
      <c r="H37" s="36">
        <f t="shared" si="7"/>
        <v>112.09771398501766</v>
      </c>
      <c r="I37" s="36">
        <f t="shared" si="2"/>
        <v>3362.8321068286514</v>
      </c>
      <c r="J37" s="36">
        <f>'tab01'!D58/1000</f>
        <v>150.88499999999999</v>
      </c>
      <c r="K37" s="31">
        <v>9.59</v>
      </c>
      <c r="L37" s="36"/>
    </row>
    <row r="38" spans="1:12">
      <c r="A38" s="62">
        <v>2010</v>
      </c>
      <c r="B38" s="36">
        <f t="shared" si="6"/>
        <v>150.88499999999999</v>
      </c>
      <c r="C38" s="36">
        <f>+'tab02'!E56/1000</f>
        <v>3331.306</v>
      </c>
      <c r="D38" s="36">
        <v>14.4490964828322</v>
      </c>
      <c r="E38" s="74">
        <f t="shared" si="0"/>
        <v>3496.6400964828322</v>
      </c>
      <c r="F38" s="36">
        <f>'tab6'!F82/1000</f>
        <v>1648.0425946666669</v>
      </c>
      <c r="G38" s="36">
        <f>'tab6'!G82/1000</f>
        <v>1504.9776390978</v>
      </c>
      <c r="H38" s="36">
        <f t="shared" si="7"/>
        <v>128.60686271836539</v>
      </c>
      <c r="I38" s="36">
        <f t="shared" si="2"/>
        <v>3281.6270964828323</v>
      </c>
      <c r="J38" s="36">
        <f>'tab01'!D63/1000</f>
        <v>215.01300000000001</v>
      </c>
      <c r="K38" s="31">
        <v>11.3</v>
      </c>
      <c r="L38" s="36"/>
    </row>
    <row r="39" spans="1:12">
      <c r="A39" s="62">
        <v>2011</v>
      </c>
      <c r="B39" s="36">
        <f t="shared" si="6"/>
        <v>215.01300000000001</v>
      </c>
      <c r="C39" s="36">
        <f>+'tab02'!E57/1000</f>
        <v>3097.1790000000001</v>
      </c>
      <c r="D39" s="36">
        <v>16.132001704578901</v>
      </c>
      <c r="E39" s="74">
        <f t="shared" si="0"/>
        <v>3328.3240017045791</v>
      </c>
      <c r="F39" s="36">
        <f>'tab6'!F89/1000</f>
        <v>1703.019</v>
      </c>
      <c r="G39" s="36">
        <f>'tab6'!G89/1000</f>
        <v>1365.2509814978098</v>
      </c>
      <c r="H39" s="36">
        <f t="shared" si="7"/>
        <v>90.684020206769446</v>
      </c>
      <c r="I39" s="36">
        <f t="shared" si="2"/>
        <v>3158.9540017045792</v>
      </c>
      <c r="J39" s="36">
        <f>'tab01'!D68/1000</f>
        <v>169.37</v>
      </c>
      <c r="K39" s="31">
        <v>12.5</v>
      </c>
      <c r="L39" s="36"/>
    </row>
    <row r="40" spans="1:12">
      <c r="A40" s="62">
        <v>2012</v>
      </c>
      <c r="B40" s="36">
        <f t="shared" si="6"/>
        <v>169.37</v>
      </c>
      <c r="C40" s="36">
        <f>+'tab02'!E58/1000</f>
        <v>3042.0439999999999</v>
      </c>
      <c r="D40" s="36">
        <v>40.516441188976195</v>
      </c>
      <c r="E40" s="74">
        <f t="shared" si="0"/>
        <v>3251.9304411889761</v>
      </c>
      <c r="F40" s="36">
        <f>'tab6'!F96/1000</f>
        <v>1688.903</v>
      </c>
      <c r="G40" s="36">
        <f>'tab6'!G96/1000</f>
        <v>1327.5260000000001</v>
      </c>
      <c r="H40" s="36">
        <f t="shared" si="7"/>
        <v>94.94444118897627</v>
      </c>
      <c r="I40" s="36">
        <f t="shared" si="2"/>
        <v>3111.3734411889764</v>
      </c>
      <c r="J40" s="36">
        <f>'tab01'!D73/1000</f>
        <v>140.55699999999999</v>
      </c>
      <c r="K40" s="31">
        <v>14.4</v>
      </c>
      <c r="L40" s="36"/>
    </row>
    <row r="41" spans="1:12">
      <c r="A41" s="62">
        <v>2013</v>
      </c>
      <c r="B41" s="36">
        <f t="shared" si="6"/>
        <v>140.55699999999999</v>
      </c>
      <c r="C41" s="36">
        <f>+'tab02'!E59/1000</f>
        <v>3357.0039999999999</v>
      </c>
      <c r="D41" s="36">
        <v>71.777046168786015</v>
      </c>
      <c r="E41" s="74">
        <f t="shared" si="0"/>
        <v>3569.3380461687857</v>
      </c>
      <c r="F41" s="36">
        <f>'tab6'!F103/1000</f>
        <v>1733.8879999999999</v>
      </c>
      <c r="G41" s="36">
        <f>'tab6'!G103/1000</f>
        <v>1638.5589397691786</v>
      </c>
      <c r="H41" s="36">
        <f t="shared" si="7"/>
        <v>104.90010639960724</v>
      </c>
      <c r="I41" s="36">
        <f t="shared" si="2"/>
        <v>3477.3470461687857</v>
      </c>
      <c r="J41" s="36">
        <f>'tab01'!D78/1000</f>
        <v>91.991</v>
      </c>
      <c r="K41" s="31">
        <v>13</v>
      </c>
      <c r="L41" s="36"/>
    </row>
    <row r="42" spans="1:12">
      <c r="A42" s="62">
        <v>2014</v>
      </c>
      <c r="B42" s="36">
        <f>+J41</f>
        <v>91.991</v>
      </c>
      <c r="C42" s="36">
        <f>+'tab02'!E60/1000</f>
        <v>3928.07</v>
      </c>
      <c r="D42" s="36">
        <v>33.224673398137199</v>
      </c>
      <c r="E42" s="74">
        <f t="shared" si="0"/>
        <v>4053.2856733981375</v>
      </c>
      <c r="F42" s="36">
        <f>'tab6'!F110/1000</f>
        <v>1873.4937851587886</v>
      </c>
      <c r="G42" s="36">
        <f>'tab6'!G110/1000</f>
        <v>1842.4226925928908</v>
      </c>
      <c r="H42" s="36">
        <f>+I42-F42-G42</f>
        <v>146.75919564645801</v>
      </c>
      <c r="I42" s="36">
        <f t="shared" si="2"/>
        <v>3862.6756733981374</v>
      </c>
      <c r="J42" s="36">
        <f>'tab01'!D83/1000</f>
        <v>190.61</v>
      </c>
      <c r="K42" s="31">
        <v>10.1</v>
      </c>
      <c r="L42" s="36"/>
    </row>
    <row r="43" spans="1:12">
      <c r="A43" s="62">
        <v>2015</v>
      </c>
      <c r="B43" s="36">
        <f>+J42</f>
        <v>190.61</v>
      </c>
      <c r="C43" s="36">
        <f>+'tab02'!E61/1000</f>
        <v>3926.779</v>
      </c>
      <c r="D43" s="36">
        <v>23.540639630852397</v>
      </c>
      <c r="E43" s="74">
        <f t="shared" si="0"/>
        <v>4140.9296396308528</v>
      </c>
      <c r="F43" s="36">
        <f>'tab6'!F129/1000</f>
        <v>1886.2368000000001</v>
      </c>
      <c r="G43" s="36">
        <f>'tab6'!G129/1000</f>
        <v>1942.6386441855982</v>
      </c>
      <c r="H43" s="36">
        <v>115</v>
      </c>
      <c r="I43" s="36">
        <f t="shared" si="2"/>
        <v>3944.2006396308529</v>
      </c>
      <c r="J43" s="36">
        <f>'tab01'!D88/1000</f>
        <v>196.72900000000001</v>
      </c>
      <c r="K43" s="31">
        <v>8.9499999999999993</v>
      </c>
      <c r="L43" s="36"/>
    </row>
    <row r="44" spans="1:12">
      <c r="A44" s="62">
        <v>2016</v>
      </c>
      <c r="B44" s="36">
        <f>+J43</f>
        <v>196.72900000000001</v>
      </c>
      <c r="C44" s="201">
        <f>+'tab02'!E62/1000</f>
        <v>4296.4960000000001</v>
      </c>
      <c r="D44" s="201">
        <v>22.241776548522299</v>
      </c>
      <c r="E44" s="74">
        <f t="shared" si="0"/>
        <v>4515.4667765485228</v>
      </c>
      <c r="F44" s="201">
        <f>'tab6'!F148/1000</f>
        <v>1901.1980666666666</v>
      </c>
      <c r="G44" s="201">
        <f>'tab6'!G148/1000</f>
        <v>2166.4169864061037</v>
      </c>
      <c r="H44" s="36">
        <v>141</v>
      </c>
      <c r="I44" s="36">
        <f t="shared" si="2"/>
        <v>4213.4667765485228</v>
      </c>
      <c r="J44" s="36">
        <v>302</v>
      </c>
      <c r="K44" s="206">
        <v>9.4700000000000006</v>
      </c>
      <c r="L44" s="36"/>
    </row>
    <row r="45" spans="1:12">
      <c r="A45" s="115" t="s">
        <v>570</v>
      </c>
      <c r="B45" s="74">
        <f>+J44</f>
        <v>302</v>
      </c>
      <c r="C45" s="74">
        <f>+'tab02'!E63/1000</f>
        <v>4411.6329999999998</v>
      </c>
      <c r="D45" s="200">
        <v>22</v>
      </c>
      <c r="E45" s="74">
        <f>+B45+C45+D45</f>
        <v>4735.6329999999998</v>
      </c>
      <c r="F45" s="200">
        <v>2055</v>
      </c>
      <c r="G45" s="201">
        <f>'tab6'!G167/1000</f>
        <v>2129.1005444967659</v>
      </c>
      <c r="H45" s="74">
        <f>+I45-F45-G45</f>
        <v>113.5324555032339</v>
      </c>
      <c r="I45" s="74">
        <f t="shared" si="2"/>
        <v>4297.6329999999998</v>
      </c>
      <c r="J45" s="200">
        <v>438</v>
      </c>
      <c r="K45" s="206">
        <v>9.33</v>
      </c>
      <c r="L45" s="36"/>
    </row>
    <row r="46" spans="1:12">
      <c r="A46" s="118" t="s">
        <v>624</v>
      </c>
      <c r="B46" s="37">
        <f>+J45</f>
        <v>438</v>
      </c>
      <c r="C46" s="199">
        <f>+'tab02'!E64/1000</f>
        <v>4543.8829999999998</v>
      </c>
      <c r="D46" s="199">
        <v>20</v>
      </c>
      <c r="E46" s="37">
        <f>+B46+C46+D46</f>
        <v>5001.8829999999998</v>
      </c>
      <c r="F46" s="199">
        <v>2100</v>
      </c>
      <c r="G46" s="199">
        <v>1875</v>
      </c>
      <c r="H46" s="37">
        <f>+I46-F46-G46</f>
        <v>126.88299999999981</v>
      </c>
      <c r="I46" s="37">
        <f t="shared" si="2"/>
        <v>4101.8829999999998</v>
      </c>
      <c r="J46" s="199">
        <v>900</v>
      </c>
      <c r="K46" s="313" t="s">
        <v>657</v>
      </c>
      <c r="L46" s="36"/>
    </row>
    <row r="47" spans="1:12" ht="13.2" customHeight="1">
      <c r="A47" s="107" t="s">
        <v>367</v>
      </c>
      <c r="E47" s="36"/>
      <c r="F47" s="36"/>
      <c r="H47" s="200"/>
      <c r="I47" s="200"/>
    </row>
    <row r="48" spans="1:12" ht="13.2" customHeight="1">
      <c r="A48" s="143" t="s">
        <v>513</v>
      </c>
    </row>
    <row r="49" spans="1:11" ht="13.2" customHeight="1">
      <c r="A49" s="10" t="s">
        <v>514</v>
      </c>
    </row>
    <row r="50" spans="1:11" ht="10.199999999999999" customHeight="1">
      <c r="J50" s="278"/>
      <c r="K50" s="278" t="s">
        <v>679</v>
      </c>
    </row>
  </sheetData>
  <mergeCells count="2">
    <mergeCell ref="B2:E2"/>
    <mergeCell ref="F2:I2"/>
  </mergeCells>
  <phoneticPr fontId="0" type="noConversion"/>
  <pageMargins left="0.7" right="0.7" top="0.75" bottom="0.75" header="0.3" footer="0.3"/>
  <pageSetup scale="86" firstPageNumber="30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53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50.7109375" customWidth="1"/>
    <col min="2" max="14" width="9.7109375" customWidth="1"/>
  </cols>
  <sheetData>
    <row r="1" spans="1:14">
      <c r="A1" s="1" t="s">
        <v>651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C2" s="279"/>
      <c r="D2" s="279"/>
      <c r="E2" s="279"/>
      <c r="F2" s="279"/>
      <c r="G2" s="279"/>
      <c r="H2" s="297">
        <v>2018</v>
      </c>
      <c r="I2" s="279"/>
      <c r="J2" s="279"/>
      <c r="K2" s="279"/>
      <c r="L2" s="279"/>
      <c r="M2" s="279"/>
      <c r="N2" s="279"/>
    </row>
    <row r="3" spans="1:14">
      <c r="A3" s="1" t="s">
        <v>288</v>
      </c>
      <c r="B3" s="283" t="s">
        <v>314</v>
      </c>
      <c r="C3" s="184" t="s">
        <v>155</v>
      </c>
      <c r="D3" s="184" t="s">
        <v>156</v>
      </c>
      <c r="E3" s="184" t="s">
        <v>157</v>
      </c>
      <c r="F3" s="184" t="s">
        <v>158</v>
      </c>
      <c r="G3" s="184" t="s">
        <v>148</v>
      </c>
      <c r="H3" s="184" t="s">
        <v>149</v>
      </c>
      <c r="I3" s="184" t="s">
        <v>150</v>
      </c>
      <c r="J3" s="184" t="s">
        <v>159</v>
      </c>
      <c r="K3" s="184" t="s">
        <v>160</v>
      </c>
      <c r="L3" s="184" t="s">
        <v>152</v>
      </c>
      <c r="M3" s="184" t="s">
        <v>153</v>
      </c>
      <c r="N3" s="184" t="s">
        <v>154</v>
      </c>
    </row>
    <row r="4" spans="1:14">
      <c r="A4" t="s">
        <v>289</v>
      </c>
    </row>
    <row r="5" spans="1:14">
      <c r="A5" t="s">
        <v>290</v>
      </c>
    </row>
    <row r="6" spans="1:14">
      <c r="A6" t="s">
        <v>402</v>
      </c>
      <c r="B6" t="s">
        <v>297</v>
      </c>
      <c r="C6" s="192">
        <v>17.7</v>
      </c>
      <c r="D6" s="192">
        <v>18.3</v>
      </c>
      <c r="E6" s="192">
        <v>18.2</v>
      </c>
      <c r="F6" s="192">
        <v>17.5</v>
      </c>
      <c r="G6" s="197">
        <v>18.5</v>
      </c>
      <c r="H6" s="192">
        <v>17.2</v>
      </c>
      <c r="I6" s="192">
        <v>17.100000000000001</v>
      </c>
      <c r="J6" s="192">
        <v>15.3</v>
      </c>
      <c r="K6" s="192">
        <v>15.2</v>
      </c>
      <c r="L6" s="192">
        <v>15.6</v>
      </c>
      <c r="M6" s="192">
        <v>16</v>
      </c>
      <c r="N6" s="192">
        <v>16.3</v>
      </c>
    </row>
    <row r="7" spans="1:14">
      <c r="A7" t="s">
        <v>291</v>
      </c>
      <c r="B7" t="s">
        <v>287</v>
      </c>
      <c r="C7" s="192">
        <v>139</v>
      </c>
      <c r="D7" s="192">
        <v>156</v>
      </c>
      <c r="E7" s="192" t="s">
        <v>315</v>
      </c>
      <c r="F7" s="192" t="s">
        <v>315</v>
      </c>
      <c r="G7" s="192" t="s">
        <v>315</v>
      </c>
      <c r="H7" s="192" t="s">
        <v>315</v>
      </c>
      <c r="I7" s="192" t="s">
        <v>315</v>
      </c>
      <c r="J7" s="192">
        <v>134</v>
      </c>
      <c r="K7" s="192">
        <v>141</v>
      </c>
      <c r="L7" s="192">
        <v>146</v>
      </c>
      <c r="M7" s="192">
        <v>152</v>
      </c>
      <c r="N7" s="192">
        <v>163</v>
      </c>
    </row>
    <row r="8" spans="1:14">
      <c r="A8" t="s">
        <v>292</v>
      </c>
      <c r="B8" t="s">
        <v>293</v>
      </c>
      <c r="C8" s="192">
        <v>9.4</v>
      </c>
      <c r="D8" s="192">
        <v>10</v>
      </c>
      <c r="E8" s="192">
        <v>9.76</v>
      </c>
      <c r="F8" s="192">
        <v>9.92</v>
      </c>
      <c r="G8" s="192">
        <v>10.1</v>
      </c>
      <c r="H8" s="192">
        <v>10</v>
      </c>
      <c r="I8" s="192">
        <v>9.9600000000000009</v>
      </c>
      <c r="J8" s="192">
        <v>10.199999999999999</v>
      </c>
      <c r="K8" s="192">
        <v>9.7899999999999991</v>
      </c>
      <c r="L8" s="192">
        <v>9.7899999999999991</v>
      </c>
      <c r="M8" s="192">
        <v>9.76</v>
      </c>
      <c r="N8" s="192">
        <v>9.66</v>
      </c>
    </row>
    <row r="9" spans="1:14">
      <c r="A9" t="s">
        <v>294</v>
      </c>
      <c r="B9" t="s">
        <v>295</v>
      </c>
      <c r="C9" s="192">
        <v>22.9</v>
      </c>
      <c r="D9" s="192">
        <v>22.7</v>
      </c>
      <c r="E9" s="192">
        <v>24.4</v>
      </c>
      <c r="F9" s="192">
        <v>23.3</v>
      </c>
      <c r="G9" s="192">
        <v>22.7</v>
      </c>
      <c r="H9" s="192">
        <v>22.7</v>
      </c>
      <c r="I9" s="192">
        <v>22.4</v>
      </c>
      <c r="J9" s="192">
        <v>22</v>
      </c>
      <c r="K9" s="192">
        <v>22.2</v>
      </c>
      <c r="L9" s="192">
        <v>22.1</v>
      </c>
      <c r="M9" s="192">
        <v>21.2</v>
      </c>
      <c r="N9" s="192">
        <v>17.8</v>
      </c>
    </row>
    <row r="10" spans="1:14">
      <c r="A10" t="s">
        <v>296</v>
      </c>
      <c r="B10" t="s">
        <v>293</v>
      </c>
      <c r="C10" s="192">
        <v>9.3000000000000007</v>
      </c>
      <c r="D10" s="192">
        <v>9.3000000000000007</v>
      </c>
      <c r="E10" s="192">
        <v>9.5</v>
      </c>
      <c r="F10" s="192">
        <v>9.81</v>
      </c>
      <c r="G10" s="192">
        <v>9.85</v>
      </c>
      <c r="H10" s="192">
        <v>9.84</v>
      </c>
      <c r="I10" s="192">
        <v>9.5500000000000007</v>
      </c>
      <c r="J10" s="192">
        <v>9.08</v>
      </c>
      <c r="K10" s="192">
        <v>8.59</v>
      </c>
      <c r="L10" s="192">
        <v>8.77</v>
      </c>
      <c r="M10" s="192">
        <v>8.58</v>
      </c>
      <c r="N10" s="192">
        <v>8.3699999999999992</v>
      </c>
    </row>
    <row r="11" spans="1:14">
      <c r="A11" t="s">
        <v>507</v>
      </c>
      <c r="B11" t="s">
        <v>297</v>
      </c>
      <c r="C11" s="192">
        <v>17.600000000000001</v>
      </c>
      <c r="D11" s="192">
        <v>17.7</v>
      </c>
      <c r="E11" s="192">
        <v>17.3</v>
      </c>
      <c r="F11" s="192">
        <v>18</v>
      </c>
      <c r="G11" s="192">
        <v>17.899999999999999</v>
      </c>
      <c r="H11" s="192">
        <v>17.7</v>
      </c>
      <c r="I11" s="192">
        <v>17.399999999999999</v>
      </c>
      <c r="J11" s="192">
        <v>16.899999999999999</v>
      </c>
      <c r="K11" s="192">
        <v>16.7</v>
      </c>
      <c r="L11" s="192">
        <v>16.7</v>
      </c>
      <c r="M11" s="192">
        <v>17</v>
      </c>
      <c r="N11" s="192">
        <v>16.399999999999999</v>
      </c>
    </row>
    <row r="12" spans="1:14">
      <c r="A12" t="s">
        <v>508</v>
      </c>
      <c r="B12" t="s">
        <v>297</v>
      </c>
      <c r="C12" s="192">
        <v>17.3</v>
      </c>
      <c r="D12" s="192">
        <v>17.3</v>
      </c>
      <c r="E12" s="192">
        <v>17</v>
      </c>
      <c r="F12" s="192">
        <v>17.5</v>
      </c>
      <c r="G12" s="192">
        <v>17.100000000000001</v>
      </c>
      <c r="H12" s="192">
        <v>17.2</v>
      </c>
      <c r="I12" s="192">
        <v>17.3</v>
      </c>
      <c r="J12" s="192">
        <v>16.2</v>
      </c>
      <c r="K12" s="197" t="s">
        <v>315</v>
      </c>
      <c r="L12" s="197" t="s">
        <v>315</v>
      </c>
      <c r="M12" s="197" t="s">
        <v>315</v>
      </c>
      <c r="N12" s="197" t="s">
        <v>315</v>
      </c>
    </row>
    <row r="13" spans="1:14">
      <c r="A13" t="s">
        <v>509</v>
      </c>
      <c r="B13" t="s">
        <v>297</v>
      </c>
      <c r="C13" s="192">
        <v>19.8</v>
      </c>
      <c r="D13" s="192">
        <v>23.6</v>
      </c>
      <c r="E13" s="192">
        <v>21.5</v>
      </c>
      <c r="F13" s="192">
        <v>21.5</v>
      </c>
      <c r="G13" s="192">
        <v>23.2</v>
      </c>
      <c r="H13" s="192">
        <v>21.4</v>
      </c>
      <c r="I13" s="192">
        <v>19.5</v>
      </c>
      <c r="J13" s="192">
        <v>22.4</v>
      </c>
      <c r="K13" s="197" t="s">
        <v>315</v>
      </c>
      <c r="L13" s="197" t="s">
        <v>315</v>
      </c>
      <c r="M13" s="197" t="s">
        <v>315</v>
      </c>
      <c r="N13" s="197" t="s">
        <v>315</v>
      </c>
    </row>
    <row r="14" spans="1:14" s="191" customFormat="1">
      <c r="A14" s="191" t="s">
        <v>409</v>
      </c>
    </row>
    <row r="15" spans="1:14">
      <c r="A15" t="s">
        <v>407</v>
      </c>
      <c r="B15" t="s">
        <v>297</v>
      </c>
      <c r="C15" s="192">
        <v>17.86</v>
      </c>
      <c r="D15" s="192">
        <v>17.93</v>
      </c>
      <c r="E15" s="192">
        <v>17.96</v>
      </c>
      <c r="F15" s="192">
        <v>18.670000000000002</v>
      </c>
      <c r="G15" s="192">
        <v>18.600000000000001</v>
      </c>
      <c r="H15" s="192">
        <v>17.84</v>
      </c>
      <c r="I15">
        <v>15.67</v>
      </c>
      <c r="J15">
        <v>15.61</v>
      </c>
      <c r="K15">
        <v>15.23</v>
      </c>
      <c r="L15">
        <v>15.84</v>
      </c>
      <c r="M15">
        <v>15.71</v>
      </c>
      <c r="N15">
        <v>15.87</v>
      </c>
    </row>
    <row r="16" spans="1:14">
      <c r="A16" t="s">
        <v>408</v>
      </c>
      <c r="B16" t="s">
        <v>287</v>
      </c>
      <c r="C16" s="192">
        <v>158.6</v>
      </c>
      <c r="D16" s="192">
        <v>158.75</v>
      </c>
      <c r="E16" s="192">
        <v>164.5</v>
      </c>
      <c r="F16" s="192">
        <v>164.5</v>
      </c>
      <c r="G16" s="192">
        <v>173.33</v>
      </c>
      <c r="H16" s="192">
        <v>179</v>
      </c>
      <c r="I16" s="192">
        <v>178.67</v>
      </c>
      <c r="J16" s="192">
        <v>174.25</v>
      </c>
      <c r="K16" s="192">
        <v>183.33</v>
      </c>
      <c r="L16" s="192">
        <v>161</v>
      </c>
      <c r="M16" s="192">
        <v>167.25</v>
      </c>
      <c r="N16" s="192">
        <v>174</v>
      </c>
    </row>
    <row r="17" spans="1:14">
      <c r="A17" t="s">
        <v>414</v>
      </c>
      <c r="B17" t="s">
        <v>293</v>
      </c>
      <c r="C17" s="192">
        <v>10.3</v>
      </c>
      <c r="D17" s="192">
        <v>10.3</v>
      </c>
      <c r="E17" s="192">
        <v>10.3</v>
      </c>
      <c r="F17" s="192">
        <v>10.3</v>
      </c>
      <c r="G17" s="192">
        <v>10.3</v>
      </c>
      <c r="H17" s="192">
        <v>10.3</v>
      </c>
      <c r="I17" s="192">
        <v>10.31</v>
      </c>
      <c r="J17" s="192">
        <v>10.4</v>
      </c>
      <c r="K17" s="192">
        <v>10.72</v>
      </c>
      <c r="L17" s="192">
        <v>11.1</v>
      </c>
      <c r="M17" s="192">
        <v>11.15</v>
      </c>
      <c r="N17" s="192">
        <v>11.1</v>
      </c>
    </row>
    <row r="18" spans="1:14">
      <c r="A18" t="s">
        <v>406</v>
      </c>
      <c r="B18" t="s">
        <v>293</v>
      </c>
      <c r="C18" s="192">
        <v>9.39</v>
      </c>
      <c r="D18" s="192">
        <v>9.75</v>
      </c>
      <c r="E18" s="192">
        <v>9.9499999999999993</v>
      </c>
      <c r="F18" s="192">
        <v>9.98</v>
      </c>
      <c r="G18" s="192">
        <v>9.86</v>
      </c>
      <c r="H18" s="192">
        <v>8.92</v>
      </c>
      <c r="I18" s="192">
        <v>8.1999999999999993</v>
      </c>
      <c r="J18" s="192">
        <v>8.23</v>
      </c>
      <c r="K18" s="192">
        <v>7.74</v>
      </c>
      <c r="L18" s="192">
        <v>7.92</v>
      </c>
      <c r="M18" s="192">
        <v>8.25</v>
      </c>
      <c r="N18" s="192">
        <v>8.5299999999999994</v>
      </c>
    </row>
    <row r="19" spans="1:14">
      <c r="A19" t="s">
        <v>405</v>
      </c>
      <c r="B19" t="s">
        <v>293</v>
      </c>
      <c r="C19" s="192">
        <v>10.14</v>
      </c>
      <c r="D19" s="192">
        <v>10.46</v>
      </c>
      <c r="E19" s="192">
        <v>10.8</v>
      </c>
      <c r="F19" s="192">
        <v>10.96</v>
      </c>
      <c r="G19" s="192">
        <v>10.75</v>
      </c>
      <c r="H19" s="192">
        <v>9.7899999999999991</v>
      </c>
      <c r="I19" s="192">
        <v>9.0399999999999991</v>
      </c>
      <c r="J19" s="192">
        <v>9.01</v>
      </c>
      <c r="K19" s="192">
        <v>8.3800000000000008</v>
      </c>
      <c r="L19" s="192">
        <v>8.7100000000000009</v>
      </c>
      <c r="M19" s="192">
        <v>8.99</v>
      </c>
      <c r="N19" s="192">
        <v>9.1999999999999993</v>
      </c>
    </row>
    <row r="20" spans="1:14">
      <c r="A20" t="s">
        <v>410</v>
      </c>
      <c r="B20" t="s">
        <v>297</v>
      </c>
      <c r="C20" s="192">
        <v>17.41</v>
      </c>
      <c r="D20" s="192">
        <v>17.23</v>
      </c>
      <c r="E20" s="192">
        <v>17.489999999999998</v>
      </c>
      <c r="F20" s="192">
        <v>17.72</v>
      </c>
      <c r="G20" s="192">
        <v>17.86</v>
      </c>
      <c r="H20" s="192">
        <v>18.07</v>
      </c>
      <c r="I20" s="192">
        <v>17.68</v>
      </c>
      <c r="J20" s="192">
        <v>17.309999999999999</v>
      </c>
      <c r="K20" s="191">
        <v>17.3</v>
      </c>
      <c r="L20" s="191">
        <v>16.989999999999998</v>
      </c>
      <c r="M20" s="191">
        <v>16.54</v>
      </c>
      <c r="N20" s="191">
        <v>16.89</v>
      </c>
    </row>
    <row r="21" spans="1:14">
      <c r="A21" t="s">
        <v>298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>
      <c r="A22" t="s">
        <v>299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>
      <c r="A23" t="s">
        <v>357</v>
      </c>
      <c r="B23" t="s">
        <v>295</v>
      </c>
      <c r="C23" s="192">
        <v>38.3125</v>
      </c>
      <c r="D23" s="192">
        <v>37.4375</v>
      </c>
      <c r="E23" s="192">
        <v>37.1</v>
      </c>
      <c r="F23" s="192">
        <v>37.3125</v>
      </c>
      <c r="G23" s="192">
        <v>38.25</v>
      </c>
      <c r="H23" s="192">
        <v>37.75</v>
      </c>
      <c r="I23" s="192">
        <v>38.6875</v>
      </c>
      <c r="J23" s="192">
        <v>38.75</v>
      </c>
      <c r="K23" s="192">
        <v>38.1875</v>
      </c>
      <c r="L23" s="192">
        <v>38.9375</v>
      </c>
      <c r="M23" s="192">
        <v>37.450000000000003</v>
      </c>
      <c r="N23" s="192">
        <v>36.75</v>
      </c>
    </row>
    <row r="24" spans="1:14">
      <c r="A24" t="s">
        <v>300</v>
      </c>
      <c r="B24" t="s">
        <v>301</v>
      </c>
      <c r="C24" s="192">
        <v>68.75</v>
      </c>
      <c r="D24" s="192">
        <v>66</v>
      </c>
      <c r="E24" s="192">
        <v>55.9</v>
      </c>
      <c r="F24" s="192">
        <v>58.75</v>
      </c>
      <c r="G24" s="192">
        <v>52.5</v>
      </c>
      <c r="H24" s="192">
        <v>46.2</v>
      </c>
      <c r="I24" s="192">
        <v>45</v>
      </c>
      <c r="J24" s="192">
        <v>45</v>
      </c>
      <c r="K24" s="192">
        <v>44.5</v>
      </c>
      <c r="L24" s="192">
        <v>43</v>
      </c>
      <c r="M24" s="192">
        <v>39</v>
      </c>
      <c r="N24" s="192">
        <v>37.5</v>
      </c>
    </row>
    <row r="25" spans="1:14">
      <c r="A25" t="s">
        <v>466</v>
      </c>
      <c r="B25" t="s">
        <v>301</v>
      </c>
      <c r="C25" s="192">
        <v>30.68</v>
      </c>
      <c r="D25" s="192">
        <v>29.72</v>
      </c>
      <c r="E25" s="192">
        <v>29.66</v>
      </c>
      <c r="F25" s="192">
        <v>29.5</v>
      </c>
      <c r="G25" s="192">
        <v>29.65</v>
      </c>
      <c r="H25" s="192">
        <v>29.54</v>
      </c>
      <c r="I25" s="192">
        <v>28.76</v>
      </c>
      <c r="J25" s="192">
        <v>26.8</v>
      </c>
      <c r="K25" s="192">
        <v>26.46</v>
      </c>
      <c r="L25" s="192">
        <v>27.18</v>
      </c>
      <c r="M25" s="191">
        <v>26.37</v>
      </c>
      <c r="N25" s="191">
        <v>26.46</v>
      </c>
    </row>
    <row r="26" spans="1:14">
      <c r="A26" t="s">
        <v>460</v>
      </c>
      <c r="B26" t="s">
        <v>301</v>
      </c>
      <c r="C26" s="192">
        <v>23.79</v>
      </c>
      <c r="D26" s="192">
        <v>22.87</v>
      </c>
      <c r="E26" s="192">
        <v>23.15</v>
      </c>
      <c r="F26" s="192">
        <v>23.86</v>
      </c>
      <c r="G26" s="192">
        <v>24.1</v>
      </c>
      <c r="H26" s="192">
        <v>24.27</v>
      </c>
      <c r="I26" s="192">
        <v>26.37</v>
      </c>
      <c r="J26" s="192">
        <v>24.11</v>
      </c>
      <c r="K26" s="192">
        <v>24.87</v>
      </c>
      <c r="L26" s="192">
        <v>25.4</v>
      </c>
      <c r="M26" s="192">
        <v>25.23</v>
      </c>
      <c r="N26" s="192">
        <v>25.77</v>
      </c>
    </row>
    <row r="27" spans="1:14">
      <c r="A27" t="s">
        <v>303</v>
      </c>
      <c r="B27" t="s">
        <v>301</v>
      </c>
      <c r="C27" s="192">
        <v>32.75</v>
      </c>
      <c r="D27" s="192">
        <v>31.4375</v>
      </c>
      <c r="E27" s="192">
        <v>31.35</v>
      </c>
      <c r="F27" s="192">
        <v>31.1875</v>
      </c>
      <c r="G27" s="192">
        <v>31.25</v>
      </c>
      <c r="H27" s="192">
        <v>29.9</v>
      </c>
      <c r="I27" s="192">
        <v>28.75</v>
      </c>
      <c r="J27" s="192">
        <v>28.6</v>
      </c>
      <c r="K27" s="192">
        <v>28.875</v>
      </c>
      <c r="L27" s="192">
        <v>30.5625</v>
      </c>
      <c r="M27" s="192">
        <v>31.45</v>
      </c>
      <c r="N27" s="192">
        <v>32.0625</v>
      </c>
    </row>
    <row r="28" spans="1:14">
      <c r="A28" t="s">
        <v>361</v>
      </c>
      <c r="B28" t="s">
        <v>301</v>
      </c>
      <c r="C28" s="192">
        <v>32.08</v>
      </c>
      <c r="D28" s="197">
        <v>32.200000000000003</v>
      </c>
      <c r="E28" s="197" t="s">
        <v>315</v>
      </c>
      <c r="F28" s="197" t="s">
        <v>315</v>
      </c>
      <c r="G28" s="197" t="s">
        <v>315</v>
      </c>
      <c r="H28" s="197">
        <v>32.5</v>
      </c>
      <c r="I28" s="197" t="s">
        <v>315</v>
      </c>
      <c r="J28" s="197">
        <v>32.380000000000003</v>
      </c>
      <c r="K28" s="192">
        <v>32.93</v>
      </c>
      <c r="L28" s="192">
        <v>33</v>
      </c>
      <c r="M28" s="192">
        <v>34.33</v>
      </c>
      <c r="N28" s="192">
        <v>31</v>
      </c>
    </row>
    <row r="29" spans="1:14">
      <c r="A29" t="s">
        <v>304</v>
      </c>
      <c r="B29" t="s">
        <v>301</v>
      </c>
      <c r="C29" s="192">
        <v>34.125</v>
      </c>
      <c r="D29" s="192">
        <v>33.6875</v>
      </c>
      <c r="E29" s="192">
        <v>34.1</v>
      </c>
      <c r="F29" s="192">
        <v>33.8125</v>
      </c>
      <c r="G29" s="192">
        <v>32.875</v>
      </c>
      <c r="H29" s="192">
        <v>32.35</v>
      </c>
      <c r="I29" s="192">
        <v>30.375</v>
      </c>
      <c r="J29" s="192">
        <v>30.1</v>
      </c>
      <c r="K29" s="192">
        <v>29.9375</v>
      </c>
      <c r="L29" s="192">
        <v>29.625</v>
      </c>
      <c r="M29" s="192">
        <v>27</v>
      </c>
      <c r="N29" s="192">
        <v>27.125</v>
      </c>
    </row>
    <row r="30" spans="1:14">
      <c r="A30" t="s">
        <v>423</v>
      </c>
      <c r="B30" t="s">
        <v>301</v>
      </c>
      <c r="C30" s="192">
        <v>63.5</v>
      </c>
      <c r="D30" s="192">
        <v>62.9375</v>
      </c>
      <c r="E30" s="192">
        <v>62.75</v>
      </c>
      <c r="F30" s="192">
        <v>61.8125</v>
      </c>
      <c r="G30" s="192">
        <v>61.875</v>
      </c>
      <c r="H30" s="192">
        <v>61</v>
      </c>
      <c r="I30" s="192">
        <v>59.375</v>
      </c>
      <c r="J30" s="192">
        <v>59</v>
      </c>
      <c r="K30" s="192">
        <v>58.75</v>
      </c>
      <c r="L30" s="192">
        <v>58.375</v>
      </c>
      <c r="M30" s="192">
        <v>55.85</v>
      </c>
      <c r="N30" s="192">
        <v>55.6875</v>
      </c>
    </row>
    <row r="31" spans="1:14">
      <c r="A31" t="s">
        <v>305</v>
      </c>
      <c r="B31" t="s">
        <v>301</v>
      </c>
      <c r="C31" s="192">
        <v>66.125</v>
      </c>
      <c r="D31" s="192">
        <v>66.625</v>
      </c>
      <c r="E31" s="192">
        <v>67</v>
      </c>
      <c r="F31" s="192">
        <v>66.875</v>
      </c>
      <c r="G31" s="192">
        <v>66.5</v>
      </c>
      <c r="H31" s="192">
        <v>67.7</v>
      </c>
      <c r="I31" s="192">
        <v>68</v>
      </c>
      <c r="J31" s="192">
        <v>68</v>
      </c>
      <c r="K31" s="192">
        <v>67.625</v>
      </c>
      <c r="L31" s="192">
        <v>66.625</v>
      </c>
      <c r="M31" s="192">
        <v>64.8</v>
      </c>
      <c r="N31" s="192">
        <v>62.25</v>
      </c>
    </row>
    <row r="32" spans="1:14">
      <c r="A32" t="s">
        <v>306</v>
      </c>
      <c r="B32" t="s">
        <v>301</v>
      </c>
      <c r="C32" s="192">
        <v>30.63</v>
      </c>
      <c r="D32" s="192">
        <v>30.28</v>
      </c>
      <c r="E32" s="192">
        <v>29.7</v>
      </c>
      <c r="F32" s="192">
        <v>29.4</v>
      </c>
      <c r="G32" s="192">
        <v>28.3</v>
      </c>
      <c r="H32" s="192">
        <v>27.21</v>
      </c>
      <c r="I32" s="192">
        <v>27.6</v>
      </c>
      <c r="J32" s="192">
        <v>27.73</v>
      </c>
      <c r="K32" s="192">
        <v>28.89</v>
      </c>
      <c r="L32" s="192">
        <v>27.49</v>
      </c>
      <c r="M32" s="191">
        <v>28.14</v>
      </c>
      <c r="N32" s="191">
        <v>28.44</v>
      </c>
    </row>
    <row r="33" spans="1:15">
      <c r="A33" t="s">
        <v>307</v>
      </c>
      <c r="B33" t="s">
        <v>301</v>
      </c>
      <c r="C33" s="192">
        <v>55.5</v>
      </c>
      <c r="D33" s="192">
        <v>55</v>
      </c>
      <c r="E33" s="192">
        <v>54</v>
      </c>
      <c r="F33" s="192">
        <v>54</v>
      </c>
      <c r="G33" s="192">
        <v>54</v>
      </c>
      <c r="H33" s="192">
        <v>54</v>
      </c>
      <c r="I33" s="192">
        <v>54</v>
      </c>
      <c r="J33" s="192">
        <v>54</v>
      </c>
      <c r="K33" s="192">
        <v>54</v>
      </c>
      <c r="L33" s="192">
        <v>54</v>
      </c>
      <c r="M33" s="192">
        <v>52.8</v>
      </c>
      <c r="N33" s="192">
        <v>53.5</v>
      </c>
    </row>
    <row r="34" spans="1:15">
      <c r="A34" t="s">
        <v>359</v>
      </c>
      <c r="B34" t="s">
        <v>301</v>
      </c>
      <c r="C34" s="192" t="s">
        <v>315</v>
      </c>
      <c r="D34" s="192">
        <v>31</v>
      </c>
      <c r="E34" s="192" t="s">
        <v>315</v>
      </c>
      <c r="F34" s="192">
        <v>29.5</v>
      </c>
      <c r="G34" s="192">
        <v>29</v>
      </c>
      <c r="H34" s="192">
        <v>30</v>
      </c>
      <c r="I34" s="192">
        <v>32.47</v>
      </c>
      <c r="J34" s="192">
        <v>32</v>
      </c>
      <c r="K34" s="192">
        <v>31</v>
      </c>
      <c r="L34" s="192">
        <v>31.29</v>
      </c>
      <c r="M34" s="192">
        <v>33.56</v>
      </c>
      <c r="N34" s="192">
        <v>32.5</v>
      </c>
    </row>
    <row r="35" spans="1:15">
      <c r="A35" s="107" t="s">
        <v>422</v>
      </c>
      <c r="B35" t="s">
        <v>301</v>
      </c>
      <c r="C35" s="192" t="s">
        <v>315</v>
      </c>
      <c r="D35" s="192" t="s">
        <v>315</v>
      </c>
      <c r="E35" s="192" t="s">
        <v>315</v>
      </c>
      <c r="F35" s="192" t="s">
        <v>315</v>
      </c>
      <c r="G35" s="192">
        <v>22.35</v>
      </c>
      <c r="H35" s="192" t="s">
        <v>315</v>
      </c>
      <c r="I35" s="192" t="s">
        <v>315</v>
      </c>
      <c r="J35" s="192" t="s">
        <v>315</v>
      </c>
      <c r="K35" s="192" t="s">
        <v>315</v>
      </c>
      <c r="L35" s="192" t="s">
        <v>315</v>
      </c>
      <c r="M35" s="192" t="s">
        <v>315</v>
      </c>
      <c r="N35" s="192" t="s">
        <v>315</v>
      </c>
      <c r="O35" s="57"/>
    </row>
    <row r="36" spans="1:15">
      <c r="A36" s="107" t="s">
        <v>418</v>
      </c>
      <c r="B36" s="107" t="s">
        <v>419</v>
      </c>
      <c r="C36" s="192">
        <v>3.26</v>
      </c>
      <c r="D36" s="192">
        <v>3.18</v>
      </c>
      <c r="E36" s="192">
        <v>3.22</v>
      </c>
      <c r="F36" s="192">
        <v>3.14</v>
      </c>
      <c r="G36" s="192">
        <v>3.14</v>
      </c>
      <c r="H36" s="192" t="s">
        <v>315</v>
      </c>
      <c r="I36" s="192">
        <v>2.92</v>
      </c>
      <c r="J36" s="192">
        <v>3.15</v>
      </c>
      <c r="K36" s="192" t="s">
        <v>315</v>
      </c>
      <c r="L36" s="192">
        <v>3</v>
      </c>
      <c r="M36" s="192">
        <v>2.84</v>
      </c>
      <c r="N36" s="192">
        <v>2.8</v>
      </c>
      <c r="O36" s="57"/>
    </row>
    <row r="37" spans="1:15" s="191" customFormat="1">
      <c r="A37" s="191" t="s">
        <v>308</v>
      </c>
    </row>
    <row r="38" spans="1:15">
      <c r="A38" t="s">
        <v>358</v>
      </c>
      <c r="B38" t="s">
        <v>287</v>
      </c>
      <c r="C38" s="192">
        <v>270.2</v>
      </c>
      <c r="D38" s="192">
        <v>315.95</v>
      </c>
      <c r="E38" s="192">
        <v>334.58</v>
      </c>
      <c r="F38" s="192">
        <v>332.16</v>
      </c>
      <c r="G38" s="192">
        <v>336.93</v>
      </c>
      <c r="H38" s="192">
        <v>302.75</v>
      </c>
      <c r="I38" s="192">
        <v>279.83999999999997</v>
      </c>
      <c r="J38" s="192">
        <v>274.55</v>
      </c>
      <c r="K38" s="192">
        <v>266.86</v>
      </c>
      <c r="L38" s="192">
        <v>279.39999999999998</v>
      </c>
      <c r="M38" s="192">
        <v>279.05</v>
      </c>
      <c r="N38" s="192">
        <v>291.42</v>
      </c>
    </row>
    <row r="39" spans="1:15">
      <c r="A39" t="s">
        <v>309</v>
      </c>
      <c r="B39" t="s">
        <v>301</v>
      </c>
      <c r="C39" s="192">
        <v>259</v>
      </c>
      <c r="D39" s="192">
        <v>303.13</v>
      </c>
      <c r="E39" s="192">
        <v>323.13</v>
      </c>
      <c r="F39" s="192">
        <v>263.13</v>
      </c>
      <c r="G39" s="192">
        <v>262.5</v>
      </c>
      <c r="H39" s="192">
        <v>257.5</v>
      </c>
      <c r="I39" s="192">
        <v>253.13</v>
      </c>
      <c r="J39" s="192">
        <v>260</v>
      </c>
      <c r="K39" s="192">
        <v>258.75</v>
      </c>
      <c r="L39" s="192">
        <v>249</v>
      </c>
      <c r="M39" s="192">
        <v>240</v>
      </c>
      <c r="N39" s="192">
        <v>243.75</v>
      </c>
    </row>
    <row r="40" spans="1:15">
      <c r="A40" t="s">
        <v>338</v>
      </c>
      <c r="B40" t="s">
        <v>301</v>
      </c>
      <c r="C40" s="192">
        <v>250.63</v>
      </c>
      <c r="D40" s="192">
        <v>253</v>
      </c>
      <c r="E40" s="192">
        <v>236.88</v>
      </c>
      <c r="F40" s="192">
        <v>214</v>
      </c>
      <c r="G40" s="192">
        <v>205</v>
      </c>
      <c r="H40" s="192">
        <v>209.17</v>
      </c>
      <c r="I40" s="192">
        <v>215.5</v>
      </c>
      <c r="J40" s="192">
        <v>233.13</v>
      </c>
      <c r="K40" s="192">
        <v>237.5</v>
      </c>
      <c r="L40" s="192">
        <v>238.13</v>
      </c>
      <c r="M40" s="192">
        <v>267.5</v>
      </c>
      <c r="N40" s="192">
        <v>271.25</v>
      </c>
    </row>
    <row r="41" spans="1:15">
      <c r="A41" t="s">
        <v>339</v>
      </c>
      <c r="B41" t="s">
        <v>301</v>
      </c>
      <c r="C41" s="191">
        <v>362.85</v>
      </c>
      <c r="D41" s="191">
        <v>379.85</v>
      </c>
      <c r="E41" s="191">
        <v>385.84</v>
      </c>
      <c r="F41" s="191">
        <v>393.55</v>
      </c>
      <c r="G41" s="191">
        <v>355.71</v>
      </c>
      <c r="H41" s="191">
        <v>341.08</v>
      </c>
      <c r="I41" s="191">
        <v>332.5</v>
      </c>
      <c r="J41" s="191">
        <v>318.32</v>
      </c>
      <c r="K41" s="192">
        <v>319.14999999999998</v>
      </c>
      <c r="L41" s="191">
        <v>310.62</v>
      </c>
      <c r="M41" s="191">
        <v>311.7</v>
      </c>
      <c r="N41" s="191">
        <v>314.92</v>
      </c>
    </row>
    <row r="42" spans="1:15">
      <c r="A42" t="s">
        <v>416</v>
      </c>
      <c r="B42" t="s">
        <v>301</v>
      </c>
      <c r="C42" s="192">
        <v>178</v>
      </c>
      <c r="D42" s="192">
        <v>185.63</v>
      </c>
      <c r="E42" s="192">
        <v>187.5</v>
      </c>
      <c r="F42" s="192">
        <v>191.88</v>
      </c>
      <c r="G42" s="192">
        <v>201.5</v>
      </c>
      <c r="H42" s="192">
        <v>175.63</v>
      </c>
      <c r="I42" s="192">
        <v>155.5</v>
      </c>
      <c r="J42" s="192">
        <v>153.13</v>
      </c>
      <c r="K42" s="192">
        <v>150.63</v>
      </c>
      <c r="L42" s="192">
        <v>164</v>
      </c>
      <c r="M42" s="192">
        <v>171.25</v>
      </c>
      <c r="N42" s="192">
        <v>187.5</v>
      </c>
    </row>
    <row r="43" spans="1:15" s="191" customFormat="1">
      <c r="A43" s="191" t="s">
        <v>415</v>
      </c>
      <c r="B43" s="191" t="s">
        <v>310</v>
      </c>
    </row>
    <row r="44" spans="1:15" s="191" customFormat="1">
      <c r="A44" s="191" t="s">
        <v>311</v>
      </c>
    </row>
    <row r="45" spans="1:15">
      <c r="A45" t="s">
        <v>312</v>
      </c>
      <c r="B45" t="s">
        <v>301</v>
      </c>
      <c r="C45" s="197" t="s">
        <v>315</v>
      </c>
      <c r="D45" s="197" t="s">
        <v>315</v>
      </c>
      <c r="E45" s="197" t="s">
        <v>315</v>
      </c>
      <c r="F45" s="197" t="s">
        <v>315</v>
      </c>
      <c r="G45" s="197" t="s">
        <v>315</v>
      </c>
      <c r="H45" s="197" t="s">
        <v>315</v>
      </c>
      <c r="I45" s="197" t="s">
        <v>315</v>
      </c>
      <c r="J45" s="197" t="s">
        <v>315</v>
      </c>
      <c r="K45" s="197" t="s">
        <v>315</v>
      </c>
      <c r="L45" s="197" t="s">
        <v>315</v>
      </c>
      <c r="M45" s="197" t="s">
        <v>315</v>
      </c>
      <c r="N45" s="197" t="s">
        <v>315</v>
      </c>
    </row>
    <row r="46" spans="1:15" s="191" customFormat="1">
      <c r="A46" s="191" t="s">
        <v>313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</row>
    <row r="47" spans="1:15">
      <c r="A47" t="s">
        <v>389</v>
      </c>
      <c r="B47" t="s">
        <v>301</v>
      </c>
      <c r="C47" s="193">
        <v>322.10000000000002</v>
      </c>
      <c r="D47" s="193">
        <v>319.3</v>
      </c>
      <c r="E47" s="193">
        <v>318.3</v>
      </c>
      <c r="F47" s="193">
        <v>316.5</v>
      </c>
      <c r="G47" s="193">
        <v>317.10000000000002</v>
      </c>
      <c r="H47" s="193">
        <v>321</v>
      </c>
      <c r="I47" s="193">
        <v>318</v>
      </c>
      <c r="J47" s="193">
        <v>317.3</v>
      </c>
      <c r="K47" s="193">
        <v>316.8</v>
      </c>
      <c r="L47" s="193">
        <v>317.5</v>
      </c>
      <c r="M47" s="193">
        <v>318.89999999999998</v>
      </c>
      <c r="N47" s="193">
        <v>317.7</v>
      </c>
    </row>
    <row r="48" spans="1:15">
      <c r="A48" t="s">
        <v>450</v>
      </c>
      <c r="B48" t="s">
        <v>301</v>
      </c>
      <c r="C48" s="193">
        <v>259.60000000000002</v>
      </c>
      <c r="D48" s="193">
        <v>259.8</v>
      </c>
      <c r="E48" s="193">
        <v>259</v>
      </c>
      <c r="F48" s="193">
        <v>257.89999999999998</v>
      </c>
      <c r="G48" s="193">
        <v>249</v>
      </c>
      <c r="H48" s="193">
        <v>249.7</v>
      </c>
      <c r="I48" s="193">
        <v>247.4</v>
      </c>
      <c r="J48" s="193">
        <v>245.1</v>
      </c>
      <c r="K48" s="193">
        <v>243.4</v>
      </c>
      <c r="L48" s="193">
        <v>245.2</v>
      </c>
      <c r="M48" s="193">
        <v>245.1</v>
      </c>
      <c r="N48" s="193">
        <v>249.5</v>
      </c>
    </row>
    <row r="49" spans="1:14">
      <c r="A49" t="s">
        <v>388</v>
      </c>
      <c r="B49" t="s">
        <v>301</v>
      </c>
      <c r="C49" s="193">
        <v>222.6</v>
      </c>
      <c r="D49" s="193">
        <v>214.4</v>
      </c>
      <c r="E49" s="193">
        <v>211.7</v>
      </c>
      <c r="F49" s="193">
        <v>209.9</v>
      </c>
      <c r="G49" s="193">
        <v>207.2</v>
      </c>
      <c r="H49" s="193">
        <v>188.9</v>
      </c>
      <c r="I49" s="193">
        <v>187.2</v>
      </c>
      <c r="J49" s="193">
        <v>184.4</v>
      </c>
      <c r="K49" s="193">
        <v>189.2</v>
      </c>
      <c r="L49" s="193">
        <v>187.7</v>
      </c>
      <c r="M49" s="193">
        <v>190.1</v>
      </c>
      <c r="N49" s="193">
        <v>191</v>
      </c>
    </row>
    <row r="50" spans="1:14">
      <c r="A50" s="1" t="s">
        <v>436</v>
      </c>
      <c r="B50" s="1" t="s">
        <v>437</v>
      </c>
      <c r="C50" s="198">
        <v>143.30000000000001</v>
      </c>
      <c r="D50" s="198">
        <v>143.9</v>
      </c>
      <c r="E50" s="198">
        <v>142.5</v>
      </c>
      <c r="F50" s="198">
        <v>142.9</v>
      </c>
      <c r="G50" s="198">
        <v>143.4</v>
      </c>
      <c r="H50" s="198">
        <v>142.30000000000001</v>
      </c>
      <c r="I50" s="198">
        <v>142.69999999999999</v>
      </c>
      <c r="J50" s="198">
        <v>143.1</v>
      </c>
      <c r="K50" s="198">
        <v>143.5</v>
      </c>
      <c r="L50" s="198">
        <v>142.4</v>
      </c>
      <c r="M50" s="198">
        <v>142.5</v>
      </c>
      <c r="N50" s="198">
        <v>142.4</v>
      </c>
    </row>
    <row r="51" spans="1:14">
      <c r="A51" s="107" t="s">
        <v>435</v>
      </c>
      <c r="N51" s="134"/>
    </row>
    <row r="52" spans="1:14">
      <c r="A52" s="107" t="s">
        <v>537</v>
      </c>
      <c r="M52" s="58"/>
    </row>
    <row r="53" spans="1:14" ht="10.199999999999999" customHeight="1">
      <c r="A53" s="107" t="s">
        <v>538</v>
      </c>
      <c r="K53" s="139"/>
      <c r="M53" s="287"/>
      <c r="N53" s="278" t="s">
        <v>679</v>
      </c>
    </row>
  </sheetData>
  <pageMargins left="0.7" right="0.7" top="0.75" bottom="0.75" header="0.3" footer="0.3"/>
  <pageSetup scale="87" firstPageNumber="66" orientation="landscape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64"/>
  <sheetViews>
    <sheetView zoomScaleNormal="100" zoomScaleSheetLayoutView="100" workbookViewId="0">
      <selection activeCell="A105" sqref="A105"/>
    </sheetView>
  </sheetViews>
  <sheetFormatPr defaultRowHeight="10.199999999999999"/>
  <cols>
    <col min="1" max="11" width="11.85546875" customWidth="1"/>
  </cols>
  <sheetData>
    <row r="1" spans="1:15">
      <c r="A1" s="1" t="s">
        <v>678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>
      <c r="B2" s="1"/>
      <c r="C2" s="1"/>
      <c r="D2" s="1"/>
      <c r="E2" s="1"/>
      <c r="F2" s="1"/>
      <c r="G2" s="1"/>
      <c r="H2" s="1"/>
      <c r="I2" s="1"/>
      <c r="J2" s="7" t="s">
        <v>318</v>
      </c>
    </row>
    <row r="3" spans="1:15">
      <c r="B3" s="1"/>
      <c r="C3" s="283" t="s">
        <v>119</v>
      </c>
      <c r="D3" s="283"/>
      <c r="E3" s="369"/>
      <c r="F3" s="283"/>
      <c r="G3" s="304" t="s">
        <v>117</v>
      </c>
      <c r="H3" s="283"/>
      <c r="I3" s="369"/>
      <c r="J3" s="7" t="s">
        <v>330</v>
      </c>
      <c r="K3" s="7" t="s">
        <v>331</v>
      </c>
    </row>
    <row r="4" spans="1:15">
      <c r="A4" t="s">
        <v>320</v>
      </c>
      <c r="B4" s="7" t="s">
        <v>316</v>
      </c>
      <c r="C4" s="7" t="s">
        <v>66</v>
      </c>
      <c r="D4" s="173" t="s">
        <v>88</v>
      </c>
      <c r="E4" s="367" t="s">
        <v>3</v>
      </c>
      <c r="F4" s="10" t="s">
        <v>142</v>
      </c>
      <c r="G4" s="172" t="s">
        <v>90</v>
      </c>
      <c r="H4" s="173" t="s">
        <v>3</v>
      </c>
      <c r="I4" s="367" t="s">
        <v>328</v>
      </c>
      <c r="J4" s="7" t="s">
        <v>321</v>
      </c>
      <c r="K4" s="7"/>
    </row>
    <row r="5" spans="1:15">
      <c r="A5" s="1" t="s">
        <v>319</v>
      </c>
      <c r="B5" s="9" t="s">
        <v>317</v>
      </c>
      <c r="C5" s="9" t="s">
        <v>243</v>
      </c>
      <c r="D5" s="283"/>
      <c r="E5" s="368"/>
      <c r="F5" s="1"/>
      <c r="G5" s="1"/>
      <c r="H5" s="1"/>
      <c r="I5" s="369" t="s">
        <v>347</v>
      </c>
      <c r="J5" s="9" t="s">
        <v>329</v>
      </c>
      <c r="K5" s="9"/>
    </row>
    <row r="6" spans="1:15">
      <c r="C6" s="280"/>
      <c r="D6" s="280"/>
      <c r="E6" s="280"/>
      <c r="F6" s="280" t="s">
        <v>605</v>
      </c>
      <c r="G6" s="280"/>
      <c r="H6" s="280"/>
      <c r="I6" s="280"/>
      <c r="J6" s="7" t="s">
        <v>95</v>
      </c>
      <c r="K6" s="7" t="s">
        <v>453</v>
      </c>
    </row>
    <row r="7" spans="1:15">
      <c r="B7" s="123"/>
      <c r="C7" s="156"/>
      <c r="D7" s="284"/>
      <c r="E7" s="156"/>
      <c r="F7" s="156"/>
      <c r="G7" s="156"/>
      <c r="H7" s="156"/>
      <c r="I7" s="156"/>
      <c r="J7" s="7"/>
      <c r="K7" s="7"/>
      <c r="L7" s="123"/>
    </row>
    <row r="8" spans="1:15">
      <c r="A8" s="10">
        <v>1980</v>
      </c>
      <c r="B8" s="12">
        <v>49.906999999999996</v>
      </c>
      <c r="C8" s="36">
        <v>1207</v>
      </c>
      <c r="D8" s="36">
        <v>0</v>
      </c>
      <c r="E8" s="36">
        <f>SUM(B8:D8)</f>
        <v>1256.9069999999999</v>
      </c>
      <c r="F8" s="52">
        <f>H8-G8</f>
        <v>1115.0629999999999</v>
      </c>
      <c r="G8" s="12">
        <v>92.402000000000001</v>
      </c>
      <c r="H8" s="36">
        <f>E8-B9</f>
        <v>1207.4649999999999</v>
      </c>
      <c r="I8" s="36">
        <v>588.08199999999999</v>
      </c>
      <c r="J8" s="89">
        <f>+I8/227.726</f>
        <v>2.5824104406172328</v>
      </c>
      <c r="K8" s="33">
        <v>20.72</v>
      </c>
      <c r="L8" s="36"/>
      <c r="M8" s="36"/>
      <c r="N8" s="36"/>
      <c r="O8" s="36"/>
    </row>
    <row r="9" spans="1:15">
      <c r="A9" s="10">
        <v>1981</v>
      </c>
      <c r="B9" s="12">
        <v>49.442</v>
      </c>
      <c r="C9" s="36">
        <v>1159</v>
      </c>
      <c r="D9" s="36">
        <v>0</v>
      </c>
      <c r="E9" s="36">
        <f t="shared" ref="E9:E44" si="0">SUM(B9:D9)</f>
        <v>1208.442</v>
      </c>
      <c r="F9" s="52">
        <f t="shared" ref="F9:F43" si="1">H9-G9</f>
        <v>1021.7070000000001</v>
      </c>
      <c r="G9" s="12">
        <v>149.69299999999998</v>
      </c>
      <c r="H9" s="36">
        <f t="shared" ref="H9:H43" si="2">E9-B10</f>
        <v>1171.4000000000001</v>
      </c>
      <c r="I9" s="36">
        <v>573.43599999999992</v>
      </c>
      <c r="J9" s="89">
        <f>+I9/229.966</f>
        <v>2.4935686144908376</v>
      </c>
      <c r="K9" s="33">
        <v>20.329999999999998</v>
      </c>
      <c r="L9" s="36"/>
      <c r="M9" s="36"/>
      <c r="N9" s="36"/>
      <c r="O9" s="36"/>
    </row>
    <row r="10" spans="1:15">
      <c r="A10" s="10">
        <v>1982</v>
      </c>
      <c r="B10" s="12">
        <v>37.042000000000002</v>
      </c>
      <c r="C10" s="36">
        <v>1011</v>
      </c>
      <c r="D10" s="36">
        <v>0</v>
      </c>
      <c r="E10" s="36">
        <f t="shared" si="0"/>
        <v>1048.0419999999999</v>
      </c>
      <c r="F10" s="52">
        <f t="shared" si="1"/>
        <v>907.59199999999998</v>
      </c>
      <c r="G10" s="12">
        <v>102.97299999999998</v>
      </c>
      <c r="H10" s="36">
        <f t="shared" si="2"/>
        <v>1010.5649999999999</v>
      </c>
      <c r="I10" s="36">
        <v>585.48</v>
      </c>
      <c r="J10" s="89">
        <f>+I10/232.188</f>
        <v>2.5215773424983206</v>
      </c>
      <c r="K10" s="33">
        <v>21.4</v>
      </c>
      <c r="L10" s="36"/>
      <c r="M10" s="36"/>
      <c r="N10" s="36"/>
      <c r="O10" s="36"/>
    </row>
    <row r="11" spans="1:15">
      <c r="A11" s="10">
        <v>1983</v>
      </c>
      <c r="B11" s="12">
        <v>37.476999999999997</v>
      </c>
      <c r="C11" s="36">
        <v>973</v>
      </c>
      <c r="D11" s="36">
        <v>0</v>
      </c>
      <c r="E11" s="36">
        <f t="shared" si="0"/>
        <v>1010.477</v>
      </c>
      <c r="F11" s="52">
        <f t="shared" si="1"/>
        <v>887.66700000000003</v>
      </c>
      <c r="G11" s="12">
        <v>88.616</v>
      </c>
      <c r="H11" s="36">
        <f t="shared" si="2"/>
        <v>976.28300000000002</v>
      </c>
      <c r="I11" s="36">
        <v>487.38100000000003</v>
      </c>
      <c r="J11" s="89">
        <f>+I11/234.307</f>
        <v>2.080095771786588</v>
      </c>
      <c r="K11" s="33">
        <v>17.600000000000001</v>
      </c>
      <c r="L11" s="36"/>
      <c r="M11" s="36"/>
      <c r="N11" s="36"/>
      <c r="O11" s="36"/>
    </row>
    <row r="12" spans="1:15">
      <c r="A12" s="10">
        <v>1984</v>
      </c>
      <c r="B12" s="12">
        <v>34.194000000000003</v>
      </c>
      <c r="C12" s="36">
        <v>939</v>
      </c>
      <c r="D12" s="36">
        <v>2.181</v>
      </c>
      <c r="E12" s="36">
        <f t="shared" si="0"/>
        <v>975.375</v>
      </c>
      <c r="F12" s="52">
        <f t="shared" si="1"/>
        <v>847.68700000000001</v>
      </c>
      <c r="G12" s="12">
        <v>88.972999999999999</v>
      </c>
      <c r="H12" s="36">
        <f t="shared" si="2"/>
        <v>936.66</v>
      </c>
      <c r="I12" s="36">
        <v>492.91200000000015</v>
      </c>
      <c r="J12" s="89">
        <f>+I12/236.348</f>
        <v>2.0855348892311341</v>
      </c>
      <c r="K12" s="33">
        <v>28.23</v>
      </c>
      <c r="L12" s="36"/>
      <c r="M12" s="36"/>
      <c r="N12" s="36"/>
      <c r="O12" s="36"/>
    </row>
    <row r="13" spans="1:15">
      <c r="A13" s="10">
        <v>1985</v>
      </c>
      <c r="B13" s="12">
        <v>38.715000000000003</v>
      </c>
      <c r="C13" s="36">
        <v>927</v>
      </c>
      <c r="D13" s="36">
        <v>2.1910000000000003</v>
      </c>
      <c r="E13" s="36">
        <f t="shared" si="0"/>
        <v>967.90600000000006</v>
      </c>
      <c r="F13" s="52">
        <f t="shared" si="1"/>
        <v>827.94100000000003</v>
      </c>
      <c r="G13" s="12">
        <v>104.52800000000002</v>
      </c>
      <c r="H13" s="36">
        <f t="shared" si="2"/>
        <v>932.46900000000005</v>
      </c>
      <c r="I13" s="36">
        <v>427.42499999999995</v>
      </c>
      <c r="J13" s="89">
        <f>+I13/238.466</f>
        <v>1.7923938842434559</v>
      </c>
      <c r="K13" s="33">
        <v>19.55</v>
      </c>
      <c r="L13" s="36"/>
      <c r="M13" s="36"/>
      <c r="N13" s="36"/>
      <c r="O13" s="36"/>
    </row>
    <row r="14" spans="1:15">
      <c r="A14" s="10">
        <v>1986</v>
      </c>
      <c r="B14" s="12">
        <v>35.436999999999998</v>
      </c>
      <c r="C14" s="36">
        <v>875</v>
      </c>
      <c r="D14" s="36">
        <v>1.4790000000000001</v>
      </c>
      <c r="E14" s="36">
        <f t="shared" si="0"/>
        <v>911.91600000000005</v>
      </c>
      <c r="F14" s="52">
        <f t="shared" si="1"/>
        <v>785.50000000000011</v>
      </c>
      <c r="G14" s="12">
        <v>104.468</v>
      </c>
      <c r="H14" s="36">
        <f t="shared" si="2"/>
        <v>889.96800000000007</v>
      </c>
      <c r="I14" s="36">
        <v>417.65100000000007</v>
      </c>
      <c r="J14" s="89">
        <f>+I14/240.651</f>
        <v>1.7355049428425398</v>
      </c>
      <c r="K14" s="33">
        <v>13.69</v>
      </c>
      <c r="L14" s="36"/>
      <c r="M14" s="36"/>
      <c r="N14" s="36"/>
      <c r="O14" s="36"/>
    </row>
    <row r="15" spans="1:15">
      <c r="A15" s="10">
        <v>1987</v>
      </c>
      <c r="B15" s="12">
        <v>21.948</v>
      </c>
      <c r="C15" s="36">
        <v>863</v>
      </c>
      <c r="D15" s="36">
        <v>1.0990000000000002</v>
      </c>
      <c r="E15" s="36">
        <f t="shared" si="0"/>
        <v>886.04700000000003</v>
      </c>
      <c r="F15" s="52">
        <f t="shared" si="1"/>
        <v>745.79399999999998</v>
      </c>
      <c r="G15" s="12">
        <v>107.206</v>
      </c>
      <c r="H15" s="36">
        <f t="shared" si="2"/>
        <v>853</v>
      </c>
      <c r="I15" s="36">
        <v>441.58699999999999</v>
      </c>
      <c r="J15" s="89">
        <f>+I15/242.804</f>
        <v>1.8186973855455428</v>
      </c>
      <c r="K15" s="33">
        <v>14.79</v>
      </c>
      <c r="L15" s="36"/>
      <c r="M15" s="36"/>
      <c r="N15" s="36"/>
      <c r="O15" s="36"/>
    </row>
    <row r="16" spans="1:15">
      <c r="A16" s="10">
        <v>1988</v>
      </c>
      <c r="B16" s="12">
        <v>33.046999999999997</v>
      </c>
      <c r="C16" s="36">
        <v>932</v>
      </c>
      <c r="D16" s="36">
        <v>1.0489999999999999</v>
      </c>
      <c r="E16" s="36">
        <f t="shared" si="0"/>
        <v>966.096</v>
      </c>
      <c r="F16" s="52">
        <f t="shared" si="1"/>
        <v>801.71199999999999</v>
      </c>
      <c r="G16" s="12">
        <v>127.03399999999999</v>
      </c>
      <c r="H16" s="36">
        <f t="shared" si="2"/>
        <v>928.74599999999998</v>
      </c>
      <c r="I16" s="36">
        <v>434.29899999999992</v>
      </c>
      <c r="J16" s="89">
        <f>+I16/245.021</f>
        <v>1.7724970512731559</v>
      </c>
      <c r="K16" s="33">
        <v>16.309999999999999</v>
      </c>
      <c r="L16" s="36"/>
      <c r="M16" s="36"/>
      <c r="N16" s="36"/>
      <c r="O16" s="36"/>
    </row>
    <row r="17" spans="1:15">
      <c r="A17" s="10">
        <v>1989</v>
      </c>
      <c r="B17" s="12">
        <v>37.35</v>
      </c>
      <c r="C17" s="36">
        <v>850.07228500000008</v>
      </c>
      <c r="D17" s="36">
        <v>1.4067626843339998</v>
      </c>
      <c r="E17" s="36">
        <f t="shared" si="0"/>
        <v>888.82904768433411</v>
      </c>
      <c r="F17" s="52">
        <f t="shared" si="1"/>
        <v>746.43538547192009</v>
      </c>
      <c r="G17" s="12">
        <v>110.393662212414</v>
      </c>
      <c r="H17" s="36">
        <f t="shared" si="2"/>
        <v>856.82904768433411</v>
      </c>
      <c r="I17" s="36">
        <v>422.67238547192005</v>
      </c>
      <c r="J17" s="89">
        <f>+I17/247.342</f>
        <v>1.7088581214347747</v>
      </c>
      <c r="K17" s="33">
        <v>14.09</v>
      </c>
      <c r="L17" s="36"/>
      <c r="M17" s="36"/>
      <c r="N17" s="36"/>
      <c r="O17" s="36"/>
    </row>
    <row r="18" spans="1:15">
      <c r="A18" s="10">
        <v>1990</v>
      </c>
      <c r="B18" s="12">
        <v>32</v>
      </c>
      <c r="C18" s="36">
        <v>743.05269500000009</v>
      </c>
      <c r="D18" s="36">
        <v>2.9229799999999999</v>
      </c>
      <c r="E18" s="36">
        <f t="shared" si="0"/>
        <v>777.97567500000014</v>
      </c>
      <c r="F18" s="52">
        <f t="shared" si="1"/>
        <v>655.46050500000013</v>
      </c>
      <c r="G18" s="12">
        <v>97.255170000000007</v>
      </c>
      <c r="H18" s="36">
        <f t="shared" si="2"/>
        <v>752.71567500000015</v>
      </c>
      <c r="I18" s="36">
        <v>291.11750500000011</v>
      </c>
      <c r="J18" s="89">
        <f>+I18/250.132</f>
        <v>1.1638555042937333</v>
      </c>
      <c r="K18" s="33">
        <v>13.3</v>
      </c>
      <c r="L18" s="36"/>
      <c r="M18" s="36"/>
      <c r="N18" s="36"/>
      <c r="O18" s="36"/>
    </row>
    <row r="19" spans="1:15">
      <c r="A19" s="10">
        <v>1991</v>
      </c>
      <c r="B19" s="12">
        <v>25.26</v>
      </c>
      <c r="C19" s="36">
        <v>776.995135</v>
      </c>
      <c r="D19" s="36">
        <v>2.7531999999999996</v>
      </c>
      <c r="E19" s="36">
        <f t="shared" si="0"/>
        <v>805.00833499999999</v>
      </c>
      <c r="F19" s="52">
        <f t="shared" si="1"/>
        <v>646.984195</v>
      </c>
      <c r="G19" s="12">
        <v>120.60314</v>
      </c>
      <c r="H19" s="36">
        <f t="shared" si="2"/>
        <v>767.58733499999994</v>
      </c>
      <c r="I19" s="36">
        <v>253.93119500000009</v>
      </c>
      <c r="J19" s="89">
        <f>+I19/253.493</f>
        <v>1.0017286276149642</v>
      </c>
      <c r="K19" s="33">
        <v>13.47</v>
      </c>
      <c r="L19" s="36"/>
      <c r="M19" s="36"/>
      <c r="N19" s="36"/>
      <c r="O19" s="36"/>
    </row>
    <row r="20" spans="1:15">
      <c r="A20" s="10">
        <v>1992</v>
      </c>
      <c r="B20" s="12">
        <v>37.420999999999999</v>
      </c>
      <c r="C20" s="36">
        <v>838.30971</v>
      </c>
      <c r="D20" s="36">
        <v>2.4576739999999999</v>
      </c>
      <c r="E20" s="36">
        <f t="shared" si="0"/>
        <v>878.18838400000004</v>
      </c>
      <c r="F20" s="52">
        <f t="shared" si="1"/>
        <v>719.19815900000003</v>
      </c>
      <c r="G20" s="12">
        <v>136.27022499999998</v>
      </c>
      <c r="H20" s="36">
        <f t="shared" si="2"/>
        <v>855.46838400000001</v>
      </c>
      <c r="I20" s="36">
        <v>239.48515900000015</v>
      </c>
      <c r="J20" s="89">
        <f>+I20/256.894</f>
        <v>0.93223336862674933</v>
      </c>
      <c r="K20" s="33">
        <v>13.3</v>
      </c>
      <c r="L20" s="36"/>
      <c r="M20" s="36"/>
      <c r="N20" s="36"/>
      <c r="O20" s="36"/>
    </row>
    <row r="21" spans="1:15">
      <c r="A21" s="10">
        <v>1993</v>
      </c>
      <c r="B21" s="12">
        <v>22.72</v>
      </c>
      <c r="C21" s="36">
        <v>801.26045299999998</v>
      </c>
      <c r="D21" s="36">
        <v>3.098055</v>
      </c>
      <c r="E21" s="36">
        <f t="shared" si="0"/>
        <v>827.07850800000006</v>
      </c>
      <c r="F21" s="52">
        <f t="shared" si="1"/>
        <v>674.93820100000016</v>
      </c>
      <c r="G21" s="12">
        <v>114.42630699999999</v>
      </c>
      <c r="H21" s="36">
        <f t="shared" si="2"/>
        <v>789.36450800000011</v>
      </c>
      <c r="I21" s="36">
        <v>200.63820100000007</v>
      </c>
      <c r="J21" s="89">
        <f>+I21/260.255</f>
        <v>0.7709292847399668</v>
      </c>
      <c r="K21" s="33">
        <v>15.42</v>
      </c>
      <c r="L21" s="36"/>
      <c r="M21" s="36"/>
      <c r="N21" s="36"/>
      <c r="O21" s="36"/>
    </row>
    <row r="22" spans="1:15">
      <c r="A22" s="10">
        <v>1994</v>
      </c>
      <c r="B22" s="12">
        <v>37.713999999999999</v>
      </c>
      <c r="C22" s="36">
        <v>743.75176700000009</v>
      </c>
      <c r="D22" s="36">
        <v>2.745319190274</v>
      </c>
      <c r="E22" s="36">
        <f t="shared" si="0"/>
        <v>784.21108619027416</v>
      </c>
      <c r="F22" s="52">
        <f t="shared" si="1"/>
        <v>606.60077201482227</v>
      </c>
      <c r="G22" s="12">
        <v>136.99831417545198</v>
      </c>
      <c r="H22" s="36">
        <f t="shared" si="2"/>
        <v>743.59908619027419</v>
      </c>
      <c r="I22" s="36">
        <v>154.60077201482204</v>
      </c>
      <c r="J22" s="89">
        <f>+I22/263.436</f>
        <v>0.58686273711573989</v>
      </c>
      <c r="K22" s="33">
        <v>17.53</v>
      </c>
      <c r="L22" s="36"/>
      <c r="M22" s="36"/>
      <c r="N22" s="36"/>
      <c r="O22" s="36"/>
    </row>
    <row r="23" spans="1:15">
      <c r="A23" s="10">
        <v>1995</v>
      </c>
      <c r="B23" s="12">
        <v>40.612000000000002</v>
      </c>
      <c r="C23" s="36">
        <v>714.64624600000002</v>
      </c>
      <c r="D23" s="36">
        <v>1.4571890033399999</v>
      </c>
      <c r="E23" s="36">
        <f t="shared" si="0"/>
        <v>756.71543500333996</v>
      </c>
      <c r="F23" s="52">
        <f t="shared" si="1"/>
        <v>594.31062084715199</v>
      </c>
      <c r="G23" s="12">
        <v>124.03281415618804</v>
      </c>
      <c r="H23" s="36">
        <f t="shared" si="2"/>
        <v>718.34343500334001</v>
      </c>
      <c r="I23" s="36">
        <v>106.17222921558604</v>
      </c>
      <c r="J23" s="89">
        <f>+I23/266.557</f>
        <v>0.39830966440793542</v>
      </c>
      <c r="K23" s="33">
        <v>20.260000000000002</v>
      </c>
      <c r="L23" s="36"/>
      <c r="M23" s="36"/>
      <c r="N23" s="36"/>
      <c r="O23" s="36"/>
    </row>
    <row r="24" spans="1:15">
      <c r="A24" s="10">
        <v>1996</v>
      </c>
      <c r="B24" s="12">
        <v>38.372</v>
      </c>
      <c r="C24" s="36">
        <v>679.5079320000001</v>
      </c>
      <c r="D24" s="36">
        <v>1.4931948898439997</v>
      </c>
      <c r="E24" s="36">
        <f t="shared" si="0"/>
        <v>719.373126889844</v>
      </c>
      <c r="F24" s="52">
        <f t="shared" si="1"/>
        <v>599.69656941324797</v>
      </c>
      <c r="G24" s="12">
        <v>100.72855747659602</v>
      </c>
      <c r="H24" s="36">
        <f t="shared" si="2"/>
        <v>700.42512688984402</v>
      </c>
      <c r="I24" s="36">
        <v>151.80156941324805</v>
      </c>
      <c r="J24" s="89">
        <f>+I24/269.667</f>
        <v>0.56292230570758772</v>
      </c>
      <c r="K24" s="33">
        <v>21.9</v>
      </c>
      <c r="L24" s="36"/>
      <c r="M24" s="36"/>
      <c r="N24" s="36"/>
      <c r="O24" s="36"/>
    </row>
    <row r="25" spans="1:15">
      <c r="A25" s="10">
        <v>1997</v>
      </c>
      <c r="B25" s="12">
        <v>18.948</v>
      </c>
      <c r="C25" s="36">
        <v>682.48304200000007</v>
      </c>
      <c r="D25" s="36">
        <v>1.22359827933</v>
      </c>
      <c r="E25" s="36">
        <f t="shared" si="0"/>
        <v>702.65464027933001</v>
      </c>
      <c r="F25" s="52">
        <f t="shared" si="1"/>
        <v>590.08195259490594</v>
      </c>
      <c r="G25" s="12">
        <v>90.419687684424019</v>
      </c>
      <c r="H25" s="36">
        <f t="shared" si="2"/>
        <v>680.50164027932999</v>
      </c>
      <c r="I25" s="36">
        <v>209.04795259490606</v>
      </c>
      <c r="J25" s="89">
        <f>+I25/272.912</f>
        <v>0.76599032873199446</v>
      </c>
      <c r="K25" s="33">
        <v>23.42</v>
      </c>
      <c r="L25" s="36"/>
      <c r="M25" s="36"/>
      <c r="N25" s="36"/>
      <c r="O25" s="36"/>
    </row>
    <row r="26" spans="1:15">
      <c r="A26" s="10">
        <v>1998</v>
      </c>
      <c r="B26" s="12">
        <v>22.152999999999999</v>
      </c>
      <c r="C26" s="36">
        <v>743.88144199999999</v>
      </c>
      <c r="D26" s="36">
        <v>2.2460931444420003</v>
      </c>
      <c r="E26" s="36">
        <f t="shared" si="0"/>
        <v>768.28053514444207</v>
      </c>
      <c r="F26" s="52">
        <f t="shared" si="1"/>
        <v>608.48239822002608</v>
      </c>
      <c r="G26" s="12">
        <v>131.445136924416</v>
      </c>
      <c r="H26" s="36">
        <f t="shared" si="2"/>
        <v>739.92753514444212</v>
      </c>
      <c r="I26" s="36">
        <v>195.58539822002606</v>
      </c>
      <c r="J26" s="89">
        <f>+I26/276.115</f>
        <v>0.70834760233969929</v>
      </c>
      <c r="K26" s="33">
        <v>17.86</v>
      </c>
      <c r="L26" s="36"/>
      <c r="M26" s="36"/>
      <c r="N26" s="36"/>
      <c r="O26" s="36"/>
    </row>
    <row r="27" spans="1:15">
      <c r="A27" s="62">
        <v>1999</v>
      </c>
      <c r="B27" s="52">
        <v>28.353000000000002</v>
      </c>
      <c r="C27" s="74">
        <v>735.1751680000001</v>
      </c>
      <c r="D27" s="74">
        <v>1.824009444054</v>
      </c>
      <c r="E27" s="36">
        <f t="shared" si="0"/>
        <v>765.35217744405406</v>
      </c>
      <c r="F27" s="52">
        <f t="shared" si="1"/>
        <v>591.24050537986614</v>
      </c>
      <c r="G27" s="52">
        <v>147.43267206418798</v>
      </c>
      <c r="H27" s="36">
        <f t="shared" si="2"/>
        <v>738.67317744405409</v>
      </c>
      <c r="I27" s="36">
        <v>202.47850537986605</v>
      </c>
      <c r="J27" s="89">
        <f>+I27/279.295</f>
        <v>0.72496287215978106</v>
      </c>
      <c r="K27" s="33">
        <v>14.909999999999998</v>
      </c>
      <c r="L27" s="36"/>
      <c r="M27" s="36"/>
      <c r="N27" s="36"/>
      <c r="O27" s="36"/>
    </row>
    <row r="28" spans="1:15">
      <c r="A28" s="62">
        <v>2000</v>
      </c>
      <c r="B28" s="52">
        <v>26.678999999999998</v>
      </c>
      <c r="C28" s="74">
        <v>718.48378000000002</v>
      </c>
      <c r="D28" s="74">
        <v>2.4835265245980001</v>
      </c>
      <c r="E28" s="36">
        <f t="shared" si="0"/>
        <v>747.646306524598</v>
      </c>
      <c r="F28" s="52">
        <f t="shared" si="1"/>
        <v>557.50655144090194</v>
      </c>
      <c r="G28" s="52">
        <v>173.93975508369599</v>
      </c>
      <c r="H28" s="36">
        <f t="shared" si="2"/>
        <v>731.44630652459796</v>
      </c>
      <c r="I28" s="36">
        <v>221.02555144090203</v>
      </c>
      <c r="J28" s="89">
        <f>+I28/282.385</f>
        <v>0.78270995782673314</v>
      </c>
      <c r="K28" s="33">
        <v>12.25</v>
      </c>
      <c r="L28" s="36"/>
      <c r="M28" s="36"/>
      <c r="N28" s="36"/>
      <c r="O28" s="36"/>
    </row>
    <row r="29" spans="1:15">
      <c r="A29" s="62">
        <v>2001</v>
      </c>
      <c r="B29" s="52">
        <v>16.2</v>
      </c>
      <c r="C29" s="74">
        <v>724.190292</v>
      </c>
      <c r="D29" s="74">
        <v>3.2403181416480002</v>
      </c>
      <c r="E29" s="36">
        <f t="shared" si="0"/>
        <v>743.63061014164805</v>
      </c>
      <c r="F29" s="52">
        <f t="shared" si="1"/>
        <v>626.68004273246208</v>
      </c>
      <c r="G29" s="52">
        <v>103.32856740918599</v>
      </c>
      <c r="H29" s="36">
        <f t="shared" si="2"/>
        <v>730.00861014164809</v>
      </c>
      <c r="I29" s="36">
        <v>325.47404273246201</v>
      </c>
      <c r="J29" s="89">
        <f>+I29/285.309</f>
        <v>1.140777342223561</v>
      </c>
      <c r="K29" s="33">
        <v>14.93</v>
      </c>
      <c r="L29" s="36"/>
      <c r="M29" s="36"/>
      <c r="N29" s="36"/>
      <c r="O29" s="36"/>
    </row>
    <row r="30" spans="1:15">
      <c r="A30" s="62">
        <v>2002</v>
      </c>
      <c r="B30" s="52">
        <v>13.622</v>
      </c>
      <c r="C30" s="74">
        <v>743.72054400000013</v>
      </c>
      <c r="D30" s="74">
        <v>8.3558480732999989</v>
      </c>
      <c r="E30" s="36">
        <f t="shared" si="0"/>
        <v>765.69839207330006</v>
      </c>
      <c r="F30" s="52">
        <f t="shared" si="1"/>
        <v>670.94937082460604</v>
      </c>
      <c r="G30" s="52">
        <v>84.22202124869402</v>
      </c>
      <c r="H30" s="36">
        <f t="shared" si="2"/>
        <v>755.17139207330001</v>
      </c>
      <c r="I30" s="36">
        <v>370.31737082460597</v>
      </c>
      <c r="J30" s="89">
        <f>+I30/288.105</f>
        <v>1.2853555850283958</v>
      </c>
      <c r="K30" s="33">
        <v>14.22</v>
      </c>
      <c r="L30" s="36"/>
      <c r="M30" s="36"/>
      <c r="N30" s="36"/>
      <c r="O30" s="36"/>
    </row>
    <row r="31" spans="1:15">
      <c r="A31" s="62">
        <v>2003</v>
      </c>
      <c r="B31" s="52">
        <v>10.526999999999999</v>
      </c>
      <c r="C31" s="74">
        <v>752.52086000000008</v>
      </c>
      <c r="D31" s="74">
        <v>7.1872947960660012</v>
      </c>
      <c r="E31" s="36">
        <f t="shared" si="0"/>
        <v>770.23515479606613</v>
      </c>
      <c r="F31" s="52">
        <f t="shared" si="1"/>
        <v>639.61561525048023</v>
      </c>
      <c r="G31" s="52">
        <v>117.319539545586</v>
      </c>
      <c r="H31" s="36">
        <f t="shared" si="2"/>
        <v>756.93515479606617</v>
      </c>
      <c r="I31" s="36">
        <v>368.51761525047999</v>
      </c>
      <c r="J31" s="89">
        <f>+I31/290.82</f>
        <v>1.2671673724313322</v>
      </c>
      <c r="K31" s="33">
        <v>20.63</v>
      </c>
      <c r="L31" s="36"/>
      <c r="M31" s="36"/>
      <c r="N31" s="36"/>
      <c r="O31" s="36"/>
    </row>
    <row r="32" spans="1:15">
      <c r="A32" s="62">
        <v>2004</v>
      </c>
      <c r="B32" s="52">
        <v>13.3</v>
      </c>
      <c r="C32" s="74">
        <v>772.47290400000009</v>
      </c>
      <c r="D32" s="74">
        <v>4.9995425636100004</v>
      </c>
      <c r="E32" s="36">
        <f t="shared" si="0"/>
        <v>790.77244656361006</v>
      </c>
      <c r="F32" s="52">
        <f t="shared" si="1"/>
        <v>487.79641512037597</v>
      </c>
      <c r="G32" s="52">
        <v>289.20903144323404</v>
      </c>
      <c r="H32" s="36">
        <f t="shared" si="2"/>
        <v>777.00544656361001</v>
      </c>
      <c r="I32" s="36">
        <v>220.18941512037597</v>
      </c>
      <c r="J32" s="89">
        <f>+I32/293.463</f>
        <v>0.75031406044501681</v>
      </c>
      <c r="K32" s="33">
        <v>26.35</v>
      </c>
      <c r="L32" s="36"/>
      <c r="M32" s="36"/>
      <c r="N32" s="36"/>
      <c r="O32" s="36"/>
    </row>
    <row r="33" spans="1:15">
      <c r="A33" s="62">
        <v>2005</v>
      </c>
      <c r="B33" s="52">
        <v>13.766999999999999</v>
      </c>
      <c r="C33" s="74">
        <v>779.18800399999998</v>
      </c>
      <c r="D33" s="74">
        <v>4.9972762121940004</v>
      </c>
      <c r="E33" s="36">
        <f t="shared" si="0"/>
        <v>797.95228021219407</v>
      </c>
      <c r="F33" s="52">
        <f t="shared" si="1"/>
        <v>694.75367150942805</v>
      </c>
      <c r="G33" s="52">
        <v>93.828608702766005</v>
      </c>
      <c r="H33" s="36">
        <f t="shared" si="2"/>
        <v>788.58228021219406</v>
      </c>
      <c r="I33" s="36">
        <v>459.74267150942802</v>
      </c>
      <c r="J33" s="89">
        <f>+I33/296.186</f>
        <v>1.5522093262660221</v>
      </c>
      <c r="K33" s="33">
        <v>21.14</v>
      </c>
      <c r="L33" s="36"/>
      <c r="M33" s="36"/>
      <c r="N33" s="36"/>
      <c r="O33" s="36"/>
    </row>
    <row r="34" spans="1:15">
      <c r="A34" s="62">
        <v>2006</v>
      </c>
      <c r="B34" s="52">
        <v>9.3699999999999992</v>
      </c>
      <c r="C34" s="74">
        <v>787.99352799999997</v>
      </c>
      <c r="D34" s="74">
        <v>7.2840843157320005</v>
      </c>
      <c r="E34" s="36">
        <f t="shared" si="0"/>
        <v>804.64761231573198</v>
      </c>
      <c r="F34" s="52">
        <f t="shared" si="1"/>
        <v>718.50725803742193</v>
      </c>
      <c r="G34" s="52">
        <v>71.940354278309997</v>
      </c>
      <c r="H34" s="36">
        <f t="shared" si="2"/>
        <v>790.44761231573193</v>
      </c>
      <c r="I34" s="36">
        <v>498.62325803742209</v>
      </c>
      <c r="J34" s="89">
        <f>+I34/298.996</f>
        <v>1.6676586243208007</v>
      </c>
      <c r="K34" s="33">
        <v>21.17</v>
      </c>
      <c r="L34" s="36"/>
      <c r="M34" s="36"/>
      <c r="N34" s="36"/>
      <c r="O34" s="36"/>
    </row>
    <row r="35" spans="1:15">
      <c r="A35" s="62">
        <v>2007</v>
      </c>
      <c r="B35" s="52">
        <v>14.2</v>
      </c>
      <c r="C35" s="74">
        <v>820.78726799999993</v>
      </c>
      <c r="D35" s="74">
        <v>8.633134405349999</v>
      </c>
      <c r="E35" s="36">
        <f t="shared" si="0"/>
        <v>843.62040240534998</v>
      </c>
      <c r="F35" s="52">
        <f t="shared" si="1"/>
        <v>756.84678672630798</v>
      </c>
      <c r="G35" s="52">
        <v>72.869615679042013</v>
      </c>
      <c r="H35" s="36">
        <f t="shared" si="2"/>
        <v>829.71640240534998</v>
      </c>
      <c r="I35" s="36">
        <v>486.71278672630802</v>
      </c>
      <c r="J35" s="89">
        <f>+I35/302.004</f>
        <v>1.6116103982937577</v>
      </c>
      <c r="K35" s="33">
        <v>31.32</v>
      </c>
      <c r="L35" s="36"/>
      <c r="M35" s="36"/>
      <c r="N35" s="36"/>
      <c r="O35" s="36"/>
    </row>
    <row r="36" spans="1:15">
      <c r="A36" s="62">
        <v>2008</v>
      </c>
      <c r="B36" s="52">
        <v>13.904</v>
      </c>
      <c r="C36" s="74">
        <v>873.56340399999999</v>
      </c>
      <c r="D36" s="74">
        <v>6.9303196465020012</v>
      </c>
      <c r="E36" s="36">
        <f t="shared" si="0"/>
        <v>894.39772364650196</v>
      </c>
      <c r="F36" s="52">
        <f t="shared" si="1"/>
        <v>801.13594857445196</v>
      </c>
      <c r="G36" s="52">
        <v>81.120775072050023</v>
      </c>
      <c r="H36" s="36">
        <f t="shared" si="2"/>
        <v>882.256723646502</v>
      </c>
      <c r="I36" s="36">
        <v>317.43394857445196</v>
      </c>
      <c r="J36" s="89">
        <f>+I36/304.798</f>
        <v>1.041456796220618</v>
      </c>
      <c r="K36" s="33">
        <v>39.340000000000003</v>
      </c>
      <c r="L36" s="36"/>
      <c r="M36" s="36"/>
      <c r="N36" s="36"/>
      <c r="O36" s="36"/>
    </row>
    <row r="37" spans="1:15">
      <c r="A37" s="62">
        <v>2009</v>
      </c>
      <c r="B37" s="52">
        <v>12.141</v>
      </c>
      <c r="C37" s="74">
        <v>860.24881600000003</v>
      </c>
      <c r="D37" s="74">
        <v>16.553208075642001</v>
      </c>
      <c r="E37" s="36">
        <f t="shared" si="0"/>
        <v>888.94302407564203</v>
      </c>
      <c r="F37" s="52">
        <f t="shared" si="1"/>
        <v>787.97323087645805</v>
      </c>
      <c r="G37" s="52">
        <v>83.469793199183997</v>
      </c>
      <c r="H37" s="36">
        <f t="shared" si="2"/>
        <v>871.44302407564203</v>
      </c>
      <c r="I37" s="36">
        <v>447.67323087645798</v>
      </c>
      <c r="J37" s="89">
        <f>+I37/307.439</f>
        <v>1.4561367649402253</v>
      </c>
      <c r="K37" s="33">
        <v>26.81</v>
      </c>
      <c r="L37" s="36"/>
      <c r="M37" s="36"/>
      <c r="N37" s="36"/>
      <c r="O37" s="36"/>
    </row>
    <row r="38" spans="1:15">
      <c r="A38" s="62">
        <v>2010</v>
      </c>
      <c r="B38" s="52">
        <v>17.5</v>
      </c>
      <c r="C38" s="74">
        <v>840.12989199999993</v>
      </c>
      <c r="D38" s="74">
        <v>15.375547504925999</v>
      </c>
      <c r="E38" s="36">
        <f t="shared" si="0"/>
        <v>873.0054395049259</v>
      </c>
      <c r="F38" s="52">
        <f t="shared" si="1"/>
        <v>775.81970316725585</v>
      </c>
      <c r="G38" s="52">
        <v>71.580736337670004</v>
      </c>
      <c r="H38" s="36">
        <f t="shared" si="2"/>
        <v>847.40043950492588</v>
      </c>
      <c r="I38" s="36">
        <v>479.76326316725607</v>
      </c>
      <c r="J38" s="89">
        <f>+I38/310.062</f>
        <v>1.5473139667784381</v>
      </c>
      <c r="K38" s="33">
        <v>35.130000000000003</v>
      </c>
      <c r="L38" s="36"/>
      <c r="M38" s="36"/>
      <c r="N38" s="36"/>
      <c r="O38" s="36"/>
    </row>
    <row r="39" spans="1:15">
      <c r="A39" s="62">
        <v>2011</v>
      </c>
      <c r="B39" s="52">
        <v>25.605</v>
      </c>
      <c r="C39" s="74">
        <v>851.819164</v>
      </c>
      <c r="D39" s="74">
        <v>13.405772863475999</v>
      </c>
      <c r="E39" s="36">
        <f t="shared" si="0"/>
        <v>890.82993686347606</v>
      </c>
      <c r="F39" s="52">
        <f t="shared" si="1"/>
        <v>794.16272089824804</v>
      </c>
      <c r="G39" s="52">
        <v>76.66721596522801</v>
      </c>
      <c r="H39" s="36">
        <f t="shared" si="2"/>
        <v>870.82993686347606</v>
      </c>
      <c r="I39" s="89" t="s">
        <v>403</v>
      </c>
      <c r="J39" s="154" t="s">
        <v>403</v>
      </c>
      <c r="K39" s="33">
        <v>54.55</v>
      </c>
      <c r="L39" s="36"/>
      <c r="M39" s="36"/>
      <c r="N39" s="36"/>
      <c r="O39" s="36"/>
    </row>
    <row r="40" spans="1:15">
      <c r="A40" s="62">
        <v>2012</v>
      </c>
      <c r="B40" s="52">
        <v>20</v>
      </c>
      <c r="C40" s="74">
        <v>870.57829600000002</v>
      </c>
      <c r="D40" s="74">
        <v>14.309564266242001</v>
      </c>
      <c r="E40" s="36">
        <f t="shared" si="0"/>
        <v>904.887860266242</v>
      </c>
      <c r="F40" s="52">
        <f t="shared" si="1"/>
        <v>830.15700578213205</v>
      </c>
      <c r="G40" s="52">
        <v>54.730854484109997</v>
      </c>
      <c r="H40" s="36">
        <f t="shared" si="2"/>
        <v>884.887860266242</v>
      </c>
      <c r="I40" s="89" t="s">
        <v>403</v>
      </c>
      <c r="J40" s="154" t="s">
        <v>403</v>
      </c>
      <c r="K40" s="33">
        <v>53.87</v>
      </c>
      <c r="L40" s="36"/>
      <c r="M40" s="36"/>
      <c r="N40" s="36"/>
      <c r="O40" s="36"/>
    </row>
    <row r="41" spans="1:15" s="191" customFormat="1">
      <c r="A41" s="233">
        <v>2013</v>
      </c>
      <c r="B41" s="92">
        <v>20</v>
      </c>
      <c r="C41" s="200">
        <v>867.08425999999997</v>
      </c>
      <c r="D41" s="200">
        <v>14.153479233264001</v>
      </c>
      <c r="E41" s="36">
        <f t="shared" si="0"/>
        <v>901.23773923326394</v>
      </c>
      <c r="F41" s="92">
        <f t="shared" si="1"/>
        <v>819.78101072382196</v>
      </c>
      <c r="G41" s="92">
        <v>61.456728509442009</v>
      </c>
      <c r="H41" s="201">
        <f t="shared" si="2"/>
        <v>881.23773923326394</v>
      </c>
      <c r="I41" s="154" t="s">
        <v>403</v>
      </c>
      <c r="J41" s="154" t="s">
        <v>403</v>
      </c>
      <c r="K41" s="214">
        <v>49.27</v>
      </c>
      <c r="L41" s="201"/>
      <c r="M41" s="201"/>
      <c r="N41" s="201"/>
      <c r="O41" s="201"/>
    </row>
    <row r="42" spans="1:15">
      <c r="A42" s="62">
        <v>2014</v>
      </c>
      <c r="B42" s="92">
        <v>20</v>
      </c>
      <c r="C42" s="200">
        <v>857.47575199999994</v>
      </c>
      <c r="D42" s="200">
        <v>16.192507665600001</v>
      </c>
      <c r="E42" s="36">
        <f t="shared" si="0"/>
        <v>893.66825966559998</v>
      </c>
      <c r="F42" s="52">
        <f t="shared" si="1"/>
        <v>821.88140889860597</v>
      </c>
      <c r="G42" s="92">
        <v>51.786850766994</v>
      </c>
      <c r="H42" s="36">
        <f t="shared" si="2"/>
        <v>873.66825966559998</v>
      </c>
      <c r="I42" s="89" t="s">
        <v>403</v>
      </c>
      <c r="J42" s="154" t="s">
        <v>403</v>
      </c>
      <c r="K42" s="33">
        <v>43.36</v>
      </c>
      <c r="L42" s="36"/>
      <c r="M42" s="36"/>
      <c r="N42" s="36"/>
      <c r="O42" s="36"/>
    </row>
    <row r="43" spans="1:15">
      <c r="A43" s="62">
        <v>2015</v>
      </c>
      <c r="B43" s="92">
        <v>20</v>
      </c>
      <c r="C43" s="200">
        <v>902.10134000000005</v>
      </c>
      <c r="D43" s="200">
        <v>14.241337829208002</v>
      </c>
      <c r="E43" s="36">
        <f t="shared" si="0"/>
        <v>936.34267782920801</v>
      </c>
      <c r="F43" s="52">
        <f t="shared" si="1"/>
        <v>881.13738265053996</v>
      </c>
      <c r="G43" s="92">
        <v>46.586295178667996</v>
      </c>
      <c r="H43" s="36">
        <f t="shared" si="2"/>
        <v>927.72367782920799</v>
      </c>
      <c r="I43" s="89" t="s">
        <v>403</v>
      </c>
      <c r="J43" s="154" t="s">
        <v>403</v>
      </c>
      <c r="K43" s="33">
        <v>30.17</v>
      </c>
      <c r="L43" s="36"/>
      <c r="M43" s="36"/>
      <c r="N43" s="36"/>
      <c r="O43" s="36"/>
    </row>
    <row r="44" spans="1:15">
      <c r="A44" s="62">
        <v>2016</v>
      </c>
      <c r="B44" s="92">
        <v>8.6189999999999998</v>
      </c>
      <c r="C44" s="200">
        <v>932.46078799999998</v>
      </c>
      <c r="D44" s="200">
        <v>10.378692375533999</v>
      </c>
      <c r="E44" s="36">
        <f t="shared" si="0"/>
        <v>951.45848037553401</v>
      </c>
      <c r="F44" s="52">
        <f>H44-G44</f>
        <v>901.39535744796001</v>
      </c>
      <c r="G44" s="267">
        <v>42.063122927574</v>
      </c>
      <c r="H44" s="36">
        <f>E44-B45</f>
        <v>943.45848037553401</v>
      </c>
      <c r="I44" s="89" t="s">
        <v>403</v>
      </c>
      <c r="J44" s="154" t="s">
        <v>403</v>
      </c>
      <c r="K44" s="33">
        <v>32.04</v>
      </c>
      <c r="L44" s="36"/>
      <c r="M44" s="36"/>
      <c r="N44" s="36"/>
      <c r="O44" s="36"/>
    </row>
    <row r="45" spans="1:15">
      <c r="A45" s="62">
        <v>2017</v>
      </c>
      <c r="B45" s="92">
        <v>8</v>
      </c>
      <c r="C45" s="200">
        <v>958.74127999999996</v>
      </c>
      <c r="D45" s="200">
        <v>12.802506713262</v>
      </c>
      <c r="E45" s="200">
        <f>SUM(B45:D45)</f>
        <v>979.54378671326197</v>
      </c>
      <c r="F45" s="52">
        <f>H45-G45</f>
        <v>934.73674341830792</v>
      </c>
      <c r="G45" s="92">
        <v>38.048043294953999</v>
      </c>
      <c r="H45" s="36">
        <f>E45-B46</f>
        <v>972.78478671326195</v>
      </c>
      <c r="I45" s="132" t="s">
        <v>403</v>
      </c>
      <c r="J45" s="339" t="s">
        <v>403</v>
      </c>
      <c r="K45" s="225">
        <v>35.25333333333333</v>
      </c>
      <c r="L45" s="36"/>
      <c r="M45" s="36"/>
      <c r="N45" s="36"/>
      <c r="O45" s="36"/>
    </row>
    <row r="46" spans="1:15">
      <c r="A46" s="11">
        <v>2018</v>
      </c>
      <c r="B46" s="240">
        <v>6.7590000000000003</v>
      </c>
      <c r="C46" s="199">
        <v>986.511708</v>
      </c>
      <c r="D46" s="199">
        <v>15.11346645081</v>
      </c>
      <c r="E46" s="199">
        <f>SUM(B46:D46)</f>
        <v>1008.3841744508101</v>
      </c>
      <c r="F46" s="13">
        <f>H46-G46</f>
        <v>964.5326496046082</v>
      </c>
      <c r="G46" s="240">
        <v>37.092524846201897</v>
      </c>
      <c r="H46" s="199">
        <f>E46-6.759</f>
        <v>1001.6251744508101</v>
      </c>
      <c r="I46" s="147" t="s">
        <v>403</v>
      </c>
      <c r="J46" s="155" t="s">
        <v>403</v>
      </c>
      <c r="K46" s="202">
        <v>32.552500000000002</v>
      </c>
      <c r="L46" s="36"/>
      <c r="M46" s="36"/>
      <c r="N46" s="36"/>
      <c r="O46" s="36"/>
    </row>
    <row r="47" spans="1:15" ht="13.2" customHeight="1">
      <c r="A47" s="107" t="s">
        <v>398</v>
      </c>
      <c r="C47" s="36"/>
      <c r="D47" s="36"/>
      <c r="J47" s="87"/>
    </row>
    <row r="48" spans="1:15" ht="13.2" customHeight="1">
      <c r="A48" s="107" t="s">
        <v>395</v>
      </c>
      <c r="C48" s="36"/>
      <c r="D48" s="36"/>
      <c r="J48" s="87"/>
    </row>
    <row r="49" spans="1:12" ht="13.2" customHeight="1">
      <c r="A49" s="107" t="s">
        <v>429</v>
      </c>
      <c r="J49" s="87"/>
    </row>
    <row r="50" spans="1:12">
      <c r="A50" t="s">
        <v>430</v>
      </c>
      <c r="J50" s="87"/>
    </row>
    <row r="51" spans="1:12" ht="10.199999999999999" customHeight="1">
      <c r="K51" s="278" t="s">
        <v>679</v>
      </c>
      <c r="L51" s="145"/>
    </row>
    <row r="53" spans="1:12">
      <c r="J53" s="87"/>
    </row>
    <row r="54" spans="1:12">
      <c r="J54" s="87"/>
    </row>
    <row r="55" spans="1:12">
      <c r="J55" s="87"/>
    </row>
    <row r="56" spans="1:12">
      <c r="J56" s="87"/>
    </row>
    <row r="57" spans="1:12">
      <c r="J57" s="87"/>
    </row>
    <row r="58" spans="1:12">
      <c r="J58" s="87"/>
    </row>
    <row r="59" spans="1:12">
      <c r="J59" s="87"/>
    </row>
    <row r="60" spans="1:12">
      <c r="J60" s="87"/>
    </row>
    <row r="61" spans="1:12">
      <c r="J61" s="87"/>
    </row>
    <row r="62" spans="1:12">
      <c r="J62" s="87"/>
    </row>
    <row r="63" spans="1:12">
      <c r="J63" s="87"/>
    </row>
    <row r="64" spans="1:12">
      <c r="J64" s="87"/>
    </row>
  </sheetData>
  <phoneticPr fontId="0" type="noConversion"/>
  <pageMargins left="0.7" right="0.7" top="0.75" bottom="0.75" header="0.3" footer="0.3"/>
  <pageSetup scale="81" firstPageNumber="75" orientation="portrait" useFirstPageNumber="1" r:id="rId1"/>
  <headerFooter alignWithMargins="0">
    <oddFooter>&amp;C&amp;P
Oil Crops Yearbook/OCS-2018
March 2018
Economic Research Service, USDA</oddFooter>
  </headerFooter>
  <ignoredErrors>
    <ignoredError sqref="E8:E45" formulaRange="1"/>
  </ignoredErrors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L50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1.7109375" customWidth="1"/>
    <col min="2" max="11" width="11.85546875" customWidth="1"/>
  </cols>
  <sheetData>
    <row r="1" spans="1:11">
      <c r="A1" s="1" t="s">
        <v>676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B2" s="1"/>
      <c r="C2" s="1"/>
      <c r="D2" s="1"/>
      <c r="E2" s="1"/>
      <c r="F2" s="1"/>
      <c r="G2" s="1"/>
      <c r="H2" s="1"/>
      <c r="I2" s="1"/>
      <c r="J2" s="7" t="s">
        <v>318</v>
      </c>
    </row>
    <row r="3" spans="1:11">
      <c r="B3" s="283"/>
      <c r="C3" s="283" t="s">
        <v>119</v>
      </c>
      <c r="D3" s="283"/>
      <c r="E3" s="369"/>
      <c r="F3" s="283"/>
      <c r="G3" s="304" t="s">
        <v>117</v>
      </c>
      <c r="H3" s="283"/>
      <c r="I3" s="369"/>
      <c r="J3" s="7" t="s">
        <v>330</v>
      </c>
      <c r="K3" s="7" t="s">
        <v>331</v>
      </c>
    </row>
    <row r="4" spans="1:11">
      <c r="A4" t="s">
        <v>320</v>
      </c>
      <c r="B4" s="183" t="s">
        <v>316</v>
      </c>
      <c r="C4" s="7" t="s">
        <v>66</v>
      </c>
      <c r="D4" s="282" t="s">
        <v>88</v>
      </c>
      <c r="E4" s="367" t="s">
        <v>3</v>
      </c>
      <c r="F4" s="7" t="s">
        <v>142</v>
      </c>
      <c r="G4" s="7" t="s">
        <v>90</v>
      </c>
      <c r="H4" s="7" t="s">
        <v>3</v>
      </c>
      <c r="I4" s="367" t="s">
        <v>328</v>
      </c>
      <c r="J4" s="7" t="s">
        <v>321</v>
      </c>
      <c r="K4" s="7"/>
    </row>
    <row r="5" spans="1:11">
      <c r="A5" s="1" t="s">
        <v>319</v>
      </c>
      <c r="B5" s="184" t="s">
        <v>317</v>
      </c>
      <c r="C5" s="1"/>
      <c r="D5" s="1"/>
      <c r="E5" s="368"/>
      <c r="F5" s="1"/>
      <c r="G5" s="1"/>
      <c r="H5" s="1"/>
      <c r="I5" s="369" t="s">
        <v>347</v>
      </c>
      <c r="J5" s="9" t="s">
        <v>329</v>
      </c>
      <c r="K5" s="9"/>
    </row>
    <row r="6" spans="1:11" ht="12" customHeight="1">
      <c r="C6" s="280"/>
      <c r="D6" s="280"/>
      <c r="E6" s="280"/>
      <c r="F6" s="280" t="s">
        <v>604</v>
      </c>
      <c r="G6" s="280"/>
      <c r="H6" s="280"/>
      <c r="I6" s="280"/>
      <c r="J6" s="7" t="s">
        <v>95</v>
      </c>
      <c r="K6" s="7" t="s">
        <v>453</v>
      </c>
    </row>
    <row r="7" spans="1:11" ht="12" customHeight="1">
      <c r="B7" s="156"/>
      <c r="C7" s="156"/>
      <c r="D7" s="284"/>
      <c r="E7" s="156"/>
      <c r="F7" s="156"/>
      <c r="G7" s="156"/>
      <c r="H7" s="156"/>
      <c r="I7" s="156"/>
      <c r="J7" s="7"/>
      <c r="K7" s="7"/>
    </row>
    <row r="8" spans="1:11">
      <c r="A8" s="10">
        <v>1980</v>
      </c>
      <c r="B8" s="23">
        <v>56.6</v>
      </c>
      <c r="C8" s="23">
        <v>1042.6400000000001</v>
      </c>
      <c r="D8" s="23">
        <v>0</v>
      </c>
      <c r="E8" s="23">
        <f>SUM(B8:D8)</f>
        <v>1099.24</v>
      </c>
      <c r="F8" s="23">
        <f>+H8-G8</f>
        <v>955.33999999999992</v>
      </c>
      <c r="G8" s="23">
        <v>88</v>
      </c>
      <c r="H8" s="23">
        <f t="shared" ref="H8:H44" si="0">E8-B9</f>
        <v>1043.3399999999999</v>
      </c>
      <c r="I8" s="23">
        <v>241</v>
      </c>
      <c r="J8" s="89">
        <f>+I8/227.726</f>
        <v>1.0582893477248976</v>
      </c>
      <c r="K8" s="33">
        <v>21.55</v>
      </c>
    </row>
    <row r="9" spans="1:11">
      <c r="A9" s="10">
        <v>1981</v>
      </c>
      <c r="B9" s="23">
        <v>55.9</v>
      </c>
      <c r="C9" s="23">
        <v>1130.0739999999998</v>
      </c>
      <c r="D9" s="23">
        <v>0</v>
      </c>
      <c r="E9" s="23">
        <f t="shared" ref="E9:E44" si="1">SUM(B9:D9)</f>
        <v>1185.9739999999999</v>
      </c>
      <c r="F9" s="23">
        <f t="shared" ref="F9:F28" si="2">+H9-G9</f>
        <v>990.07399999999984</v>
      </c>
      <c r="G9" s="23">
        <v>142</v>
      </c>
      <c r="H9" s="23">
        <f t="shared" si="0"/>
        <v>1132.0739999999998</v>
      </c>
      <c r="I9" s="23">
        <v>223</v>
      </c>
      <c r="J9" s="89">
        <f>+I9/229.966</f>
        <v>0.96970856561404728</v>
      </c>
      <c r="K9" s="33">
        <v>30.25</v>
      </c>
    </row>
    <row r="10" spans="1:11">
      <c r="A10" s="10">
        <v>1982</v>
      </c>
      <c r="B10" s="23">
        <v>53.9</v>
      </c>
      <c r="C10" s="23">
        <v>1109.9669999999999</v>
      </c>
      <c r="D10" s="23">
        <v>0</v>
      </c>
      <c r="E10" s="23">
        <f t="shared" si="1"/>
        <v>1163.867</v>
      </c>
      <c r="F10" s="23">
        <f t="shared" si="2"/>
        <v>1030.1779999999999</v>
      </c>
      <c r="G10" s="23">
        <v>74.88900000000001</v>
      </c>
      <c r="H10" s="23">
        <f t="shared" si="0"/>
        <v>1105.067</v>
      </c>
      <c r="I10" s="23">
        <v>303.892</v>
      </c>
      <c r="J10" s="89">
        <f>+I10/232.188</f>
        <v>1.3088187158681759</v>
      </c>
      <c r="K10" s="33">
        <v>20.719916666666666</v>
      </c>
    </row>
    <row r="11" spans="1:11">
      <c r="A11" s="10">
        <v>1983</v>
      </c>
      <c r="B11" s="23">
        <v>58.8</v>
      </c>
      <c r="C11" s="23">
        <v>1260.163</v>
      </c>
      <c r="D11" s="23">
        <v>0</v>
      </c>
      <c r="E11" s="23">
        <f t="shared" si="1"/>
        <v>1318.963</v>
      </c>
      <c r="F11" s="23">
        <f>+H11-G11</f>
        <v>1172.6679999999999</v>
      </c>
      <c r="G11" s="23">
        <v>103.79500000000002</v>
      </c>
      <c r="H11" s="23">
        <f t="shared" si="0"/>
        <v>1276.463</v>
      </c>
      <c r="I11" s="23">
        <v>495.51679999999999</v>
      </c>
      <c r="J11" s="89">
        <f>+I11/234.307</f>
        <v>2.1148185927010292</v>
      </c>
      <c r="K11" s="33">
        <v>18.820805555555555</v>
      </c>
    </row>
    <row r="12" spans="1:11">
      <c r="A12" s="10">
        <v>1984</v>
      </c>
      <c r="B12" s="23">
        <v>42.5</v>
      </c>
      <c r="C12" s="23">
        <v>1337.81</v>
      </c>
      <c r="D12" s="23">
        <v>7.9129999999999994</v>
      </c>
      <c r="E12" s="23">
        <f t="shared" si="1"/>
        <v>1388.223</v>
      </c>
      <c r="F12" s="23">
        <f t="shared" si="2"/>
        <v>1298.836</v>
      </c>
      <c r="G12" s="23">
        <v>53.186999999999998</v>
      </c>
      <c r="H12" s="23">
        <f t="shared" si="0"/>
        <v>1352.0229999999999</v>
      </c>
      <c r="I12" s="23">
        <v>410.29100000000011</v>
      </c>
      <c r="J12" s="89">
        <f>+I12/236.348</f>
        <v>1.7359613789835331</v>
      </c>
      <c r="K12" s="33">
        <v>28.503125000000001</v>
      </c>
    </row>
    <row r="13" spans="1:11">
      <c r="A13" s="10">
        <v>1985</v>
      </c>
      <c r="B13" s="23">
        <v>36.200000000000003</v>
      </c>
      <c r="C13" s="23">
        <v>1610.713</v>
      </c>
      <c r="D13" s="23">
        <v>7.8890000000000002</v>
      </c>
      <c r="E13" s="23">
        <f t="shared" si="1"/>
        <v>1654.8019999999999</v>
      </c>
      <c r="F13" s="23">
        <f>+H13-G13</f>
        <v>1539.7449999999999</v>
      </c>
      <c r="G13" s="23">
        <v>74.557000000000002</v>
      </c>
      <c r="H13" s="23">
        <f t="shared" si="0"/>
        <v>1614.3019999999999</v>
      </c>
      <c r="I13" s="23">
        <v>471.11299999999994</v>
      </c>
      <c r="J13" s="89">
        <f>+I13/238.466</f>
        <v>1.9755981984853184</v>
      </c>
      <c r="K13" s="33">
        <v>20.136458333333334</v>
      </c>
    </row>
    <row r="14" spans="1:11">
      <c r="A14" s="10">
        <v>1986</v>
      </c>
      <c r="B14" s="23">
        <v>40.5</v>
      </c>
      <c r="C14" s="23">
        <v>1523.066</v>
      </c>
      <c r="D14" s="23">
        <v>4.8279999999999994</v>
      </c>
      <c r="E14" s="23">
        <f t="shared" si="1"/>
        <v>1568.394</v>
      </c>
      <c r="F14" s="23">
        <f t="shared" si="2"/>
        <v>1478.057</v>
      </c>
      <c r="G14" s="23">
        <v>57.537000000000013</v>
      </c>
      <c r="H14" s="23">
        <f t="shared" si="0"/>
        <v>1535.5940000000001</v>
      </c>
      <c r="I14" s="23">
        <v>437.50499999999994</v>
      </c>
      <c r="J14" s="89">
        <f>+I14/240.651</f>
        <v>1.8180061582956228</v>
      </c>
      <c r="K14" s="33">
        <v>13.48958333333333</v>
      </c>
    </row>
    <row r="15" spans="1:11">
      <c r="A15" s="10">
        <v>1987</v>
      </c>
      <c r="B15" s="23">
        <v>32.799999999999997</v>
      </c>
      <c r="C15" s="23">
        <v>1257.9789999999998</v>
      </c>
      <c r="D15" s="23">
        <v>4.9450000000000003</v>
      </c>
      <c r="E15" s="23">
        <f t="shared" si="1"/>
        <v>1295.7239999999997</v>
      </c>
      <c r="F15" s="23">
        <f t="shared" si="2"/>
        <v>1192.0439999999999</v>
      </c>
      <c r="G15" s="23">
        <v>64.080000000000013</v>
      </c>
      <c r="H15" s="23">
        <f t="shared" si="0"/>
        <v>1256.1239999999998</v>
      </c>
      <c r="I15" s="23">
        <v>226.04100000000005</v>
      </c>
      <c r="J15" s="89">
        <f>+I15/242.804</f>
        <v>0.93096077494604723</v>
      </c>
      <c r="K15" s="33">
        <v>15.606472222222223</v>
      </c>
    </row>
    <row r="16" spans="1:11">
      <c r="A16" s="10">
        <v>1988</v>
      </c>
      <c r="B16" s="23">
        <v>39.6</v>
      </c>
      <c r="C16" s="23">
        <v>1296.213</v>
      </c>
      <c r="D16" s="23">
        <v>2.3449999999999998</v>
      </c>
      <c r="E16" s="23">
        <f t="shared" si="1"/>
        <v>1338.1579999999999</v>
      </c>
      <c r="F16" s="23">
        <f t="shared" si="2"/>
        <v>1156.7670000000001</v>
      </c>
      <c r="G16" s="23">
        <v>133.09099999999998</v>
      </c>
      <c r="H16" s="23">
        <f t="shared" si="0"/>
        <v>1289.8579999999999</v>
      </c>
      <c r="I16" s="23">
        <v>205.30899999999997</v>
      </c>
      <c r="J16" s="89">
        <f>+I16/245.021</f>
        <v>0.83792409630194953</v>
      </c>
      <c r="K16" s="33">
        <v>17.762541666666667</v>
      </c>
    </row>
    <row r="17" spans="1:11">
      <c r="A17" s="10">
        <v>1989</v>
      </c>
      <c r="B17" s="23">
        <v>48.3</v>
      </c>
      <c r="C17" s="23">
        <v>1156.913</v>
      </c>
      <c r="D17" s="23">
        <v>0.26470896354000001</v>
      </c>
      <c r="E17" s="23">
        <f t="shared" si="1"/>
        <v>1205.47770896354</v>
      </c>
      <c r="F17" s="23">
        <f t="shared" si="2"/>
        <v>965.28289001238784</v>
      </c>
      <c r="G17" s="23">
        <v>201.794818951152</v>
      </c>
      <c r="H17" s="23">
        <f t="shared" si="0"/>
        <v>1167.0777089635399</v>
      </c>
      <c r="I17" s="23">
        <v>63.101890012387862</v>
      </c>
      <c r="J17" s="89">
        <f>+I17/247.342</f>
        <v>0.25511999584537953</v>
      </c>
      <c r="K17" s="33">
        <v>16.088888888888892</v>
      </c>
    </row>
    <row r="18" spans="1:11">
      <c r="A18" s="10">
        <v>1990</v>
      </c>
      <c r="B18" s="23">
        <v>38.4</v>
      </c>
      <c r="C18" s="23">
        <v>1206.7470000000001</v>
      </c>
      <c r="D18" s="23">
        <v>6.234327094968001</v>
      </c>
      <c r="E18" s="23">
        <f t="shared" si="1"/>
        <v>1251.3813270949681</v>
      </c>
      <c r="F18" s="23">
        <f t="shared" si="2"/>
        <v>962.54561133128414</v>
      </c>
      <c r="G18" s="23">
        <v>251.59371576368403</v>
      </c>
      <c r="H18" s="23">
        <f t="shared" si="0"/>
        <v>1214.1393270949682</v>
      </c>
      <c r="I18" s="23">
        <v>154.24861133128394</v>
      </c>
      <c r="J18" s="89">
        <f>+I18/250.132</f>
        <v>0.61666884417541112</v>
      </c>
      <c r="K18" s="33">
        <v>21.263333333333332</v>
      </c>
    </row>
    <row r="19" spans="1:11">
      <c r="A19" s="10">
        <v>1991</v>
      </c>
      <c r="B19" s="23">
        <v>37.241999999999997</v>
      </c>
      <c r="C19" s="23">
        <v>1251.3</v>
      </c>
      <c r="D19" s="23">
        <v>10.794252128438</v>
      </c>
      <c r="E19" s="23">
        <f t="shared" si="1"/>
        <v>1299.336252128438</v>
      </c>
      <c r="F19" s="23">
        <f t="shared" si="2"/>
        <v>975.46847739085194</v>
      </c>
      <c r="G19" s="23">
        <v>285.167774737586</v>
      </c>
      <c r="H19" s="23">
        <f t="shared" si="0"/>
        <v>1260.6362521284379</v>
      </c>
      <c r="I19" s="23">
        <v>363.86847739085215</v>
      </c>
      <c r="J19" s="89">
        <f>+I19/253.493</f>
        <v>1.435418245832635</v>
      </c>
      <c r="K19" s="33">
        <v>14.265875000000001</v>
      </c>
    </row>
    <row r="20" spans="1:11">
      <c r="A20" s="10">
        <v>1992</v>
      </c>
      <c r="B20" s="23">
        <v>38.700000000000003</v>
      </c>
      <c r="C20" s="23">
        <v>1526.7</v>
      </c>
      <c r="D20" s="23">
        <v>5.5068920000000006</v>
      </c>
      <c r="E20" s="23">
        <f t="shared" si="1"/>
        <v>1570.9068920000002</v>
      </c>
      <c r="F20" s="23">
        <f t="shared" si="2"/>
        <v>1205.0472930000003</v>
      </c>
      <c r="G20" s="23">
        <v>332.58659899999998</v>
      </c>
      <c r="H20" s="23">
        <f t="shared" si="0"/>
        <v>1537.6338920000003</v>
      </c>
      <c r="I20" s="23">
        <v>609.84729300000004</v>
      </c>
      <c r="J20" s="89">
        <f>+I20/256.894</f>
        <v>2.3739257942964804</v>
      </c>
      <c r="K20" s="33">
        <v>15.539791666666668</v>
      </c>
    </row>
    <row r="21" spans="1:11">
      <c r="A21" s="10">
        <v>1993</v>
      </c>
      <c r="B21" s="23">
        <v>33.273000000000003</v>
      </c>
      <c r="C21" s="23">
        <v>1425.2</v>
      </c>
      <c r="D21" s="23">
        <v>11.819735999999999</v>
      </c>
      <c r="E21" s="23">
        <f t="shared" si="1"/>
        <v>1470.2927359999999</v>
      </c>
      <c r="F21" s="23">
        <f t="shared" si="2"/>
        <v>1127.0699839999997</v>
      </c>
      <c r="G21" s="23">
        <v>310.02275199999997</v>
      </c>
      <c r="H21" s="23">
        <f t="shared" si="0"/>
        <v>1437.0927359999998</v>
      </c>
      <c r="I21" s="23">
        <v>564.96998399999995</v>
      </c>
      <c r="J21" s="89">
        <f>+I21/260.255</f>
        <v>2.1708323913085241</v>
      </c>
      <c r="K21" s="33">
        <v>16.201666666666668</v>
      </c>
    </row>
    <row r="22" spans="1:11">
      <c r="A22" s="10">
        <v>1994</v>
      </c>
      <c r="B22" s="23">
        <v>33.200000000000003</v>
      </c>
      <c r="C22" s="23">
        <v>1557.2</v>
      </c>
      <c r="D22" s="23">
        <v>16.05078</v>
      </c>
      <c r="E22" s="23">
        <f t="shared" si="1"/>
        <v>1606.4507800000001</v>
      </c>
      <c r="F22" s="23">
        <f t="shared" si="2"/>
        <v>1275.4760690000003</v>
      </c>
      <c r="G22" s="23">
        <v>294.703711</v>
      </c>
      <c r="H22" s="23">
        <f t="shared" si="0"/>
        <v>1570.1797800000002</v>
      </c>
      <c r="I22" s="23">
        <v>639.17606899999976</v>
      </c>
      <c r="J22" s="89">
        <f>+I22/263.436</f>
        <v>2.4263049431360932</v>
      </c>
      <c r="K22" s="33">
        <v>18.420499999999997</v>
      </c>
    </row>
    <row r="23" spans="1:11">
      <c r="A23" s="10">
        <v>1995</v>
      </c>
      <c r="B23" s="23">
        <v>36.271000000000001</v>
      </c>
      <c r="C23" s="23">
        <v>1536.2570000000001</v>
      </c>
      <c r="D23" s="23">
        <v>18.049033000000001</v>
      </c>
      <c r="E23" s="23">
        <f t="shared" si="1"/>
        <v>1590.577033</v>
      </c>
      <c r="F23" s="23">
        <f t="shared" si="2"/>
        <v>1268.2285649999999</v>
      </c>
      <c r="G23" s="23">
        <v>279.29146800000001</v>
      </c>
      <c r="H23" s="23">
        <f t="shared" si="0"/>
        <v>1547.520033</v>
      </c>
      <c r="I23" s="23">
        <v>710.52456499999994</v>
      </c>
      <c r="J23" s="89">
        <f>+I23/266.557</f>
        <v>2.6655633316701488</v>
      </c>
      <c r="K23" s="33">
        <v>21.347291666666663</v>
      </c>
    </row>
    <row r="24" spans="1:11">
      <c r="A24" s="10">
        <v>1996</v>
      </c>
      <c r="B24" s="23">
        <v>43.057000000000002</v>
      </c>
      <c r="C24" s="23">
        <v>1519.6</v>
      </c>
      <c r="D24" s="23">
        <v>5.3267690000000005</v>
      </c>
      <c r="E24" s="23">
        <f t="shared" si="1"/>
        <v>1567.9837689999999</v>
      </c>
      <c r="F24" s="23">
        <f t="shared" si="2"/>
        <v>1305.424485</v>
      </c>
      <c r="G24" s="23">
        <v>229.24128400000001</v>
      </c>
      <c r="H24" s="23">
        <f t="shared" si="0"/>
        <v>1534.665769</v>
      </c>
      <c r="I24" s="23">
        <v>784.40548499999989</v>
      </c>
      <c r="J24" s="89">
        <f>+I24/269.667</f>
        <v>2.9087930113807028</v>
      </c>
      <c r="K24" s="33">
        <v>22.033333333333335</v>
      </c>
    </row>
    <row r="25" spans="1:11">
      <c r="A25" s="10">
        <v>1997</v>
      </c>
      <c r="B25" s="23">
        <v>33.317999999999998</v>
      </c>
      <c r="C25" s="23">
        <v>1416.2230000000004</v>
      </c>
      <c r="D25" s="23">
        <v>5.7592214426000004</v>
      </c>
      <c r="E25" s="23">
        <f t="shared" si="1"/>
        <v>1455.3002214426003</v>
      </c>
      <c r="F25" s="23">
        <f t="shared" si="2"/>
        <v>1223.0754429308204</v>
      </c>
      <c r="G25" s="23">
        <v>184.86077851178001</v>
      </c>
      <c r="H25" s="23">
        <f t="shared" si="0"/>
        <v>1407.9362214426003</v>
      </c>
      <c r="I25" s="23">
        <v>580.32344293081997</v>
      </c>
      <c r="J25" s="89">
        <f>+I25/272.912</f>
        <v>2.1264123341253591</v>
      </c>
      <c r="K25" s="33">
        <v>23.454166666666666</v>
      </c>
    </row>
    <row r="26" spans="1:11">
      <c r="A26" s="10">
        <v>1998</v>
      </c>
      <c r="B26" s="23">
        <v>47.363999999999997</v>
      </c>
      <c r="C26" s="23">
        <v>1536.7909999999999</v>
      </c>
      <c r="D26" s="23">
        <v>2.2793873458859997</v>
      </c>
      <c r="E26" s="23">
        <f t="shared" si="1"/>
        <v>1586.4343873458861</v>
      </c>
      <c r="F26" s="23">
        <f t="shared" si="2"/>
        <v>1300.838662770394</v>
      </c>
      <c r="G26" s="23">
        <v>246.47472457549202</v>
      </c>
      <c r="H26" s="23">
        <f t="shared" si="0"/>
        <v>1547.313387345886</v>
      </c>
      <c r="I26" s="23">
        <v>868.33866277039419</v>
      </c>
      <c r="J26" s="89">
        <f>+I26/276.115</f>
        <v>3.1448442234952618</v>
      </c>
      <c r="K26" s="33">
        <v>19.051666666666669</v>
      </c>
    </row>
    <row r="27" spans="1:11">
      <c r="A27" s="62">
        <v>1999</v>
      </c>
      <c r="B27" s="23">
        <v>39.121000000000002</v>
      </c>
      <c r="C27" s="54">
        <v>1729.2600000000002</v>
      </c>
      <c r="D27" s="54">
        <v>6.7996076081220007</v>
      </c>
      <c r="E27" s="23">
        <f t="shared" si="1"/>
        <v>1775.1806076081223</v>
      </c>
      <c r="F27" s="23">
        <f t="shared" si="2"/>
        <v>1424.8409544453702</v>
      </c>
      <c r="G27" s="54">
        <v>317.06965316275205</v>
      </c>
      <c r="H27" s="23">
        <f t="shared" si="0"/>
        <v>1741.9106076081223</v>
      </c>
      <c r="I27" s="54">
        <v>996.31295444537</v>
      </c>
      <c r="J27" s="89">
        <f>+I27/279.295</f>
        <v>3.5672423582426105</v>
      </c>
      <c r="K27" s="73">
        <v>15.112499999999999</v>
      </c>
    </row>
    <row r="28" spans="1:11">
      <c r="A28" s="62">
        <v>2000</v>
      </c>
      <c r="B28" s="23">
        <v>33.270000000000003</v>
      </c>
      <c r="C28" s="54">
        <v>1824.9999999999998</v>
      </c>
      <c r="D28" s="54">
        <v>7.42643455365</v>
      </c>
      <c r="E28" s="23">
        <f t="shared" si="1"/>
        <v>1865.6964345536499</v>
      </c>
      <c r="F28" s="23">
        <f t="shared" si="2"/>
        <v>1581.3553811645218</v>
      </c>
      <c r="G28" s="54">
        <v>247.64105338912799</v>
      </c>
      <c r="H28" s="23">
        <f t="shared" si="0"/>
        <v>1828.9964345536498</v>
      </c>
      <c r="I28" s="54">
        <v>1125.094381164522</v>
      </c>
      <c r="J28" s="89">
        <f>+I28/282.385</f>
        <v>3.9842568874569189</v>
      </c>
      <c r="K28" s="73">
        <v>11.657499999999999</v>
      </c>
    </row>
    <row r="29" spans="1:11">
      <c r="A29" s="62">
        <v>2001</v>
      </c>
      <c r="B29" s="23">
        <v>36.700000000000003</v>
      </c>
      <c r="C29" s="54">
        <v>1791.6869999999999</v>
      </c>
      <c r="D29" s="54">
        <v>31.133017111266003</v>
      </c>
      <c r="E29" s="23">
        <f t="shared" si="1"/>
        <v>1859.520017111266</v>
      </c>
      <c r="F29" s="23">
        <f t="shared" ref="F29:F34" si="3">+H29-G29</f>
        <v>1454.808993891766</v>
      </c>
      <c r="G29" s="54">
        <v>364.45102321950003</v>
      </c>
      <c r="H29" s="23">
        <f t="shared" si="0"/>
        <v>1819.2600171112661</v>
      </c>
      <c r="I29" s="54">
        <v>868.68999389176588</v>
      </c>
      <c r="J29" s="89">
        <f>+I29/285.309</f>
        <v>3.0447339337061425</v>
      </c>
      <c r="K29" s="73">
        <v>13.713333333333333</v>
      </c>
    </row>
    <row r="30" spans="1:11">
      <c r="A30" s="62">
        <v>2002</v>
      </c>
      <c r="B30" s="23">
        <v>40.26</v>
      </c>
      <c r="C30" s="54">
        <v>1974.1110000000001</v>
      </c>
      <c r="D30" s="54">
        <v>8.7088014416340016</v>
      </c>
      <c r="E30" s="23">
        <f t="shared" si="1"/>
        <v>2023.0798014416341</v>
      </c>
      <c r="F30" s="23">
        <f t="shared" si="3"/>
        <v>1486.3612354224001</v>
      </c>
      <c r="G30" s="54">
        <v>511.45256601923398</v>
      </c>
      <c r="H30" s="23">
        <f t="shared" si="0"/>
        <v>1997.813801441634</v>
      </c>
      <c r="I30" s="54">
        <v>973.59023542239993</v>
      </c>
      <c r="J30" s="89">
        <f>+I30/288.105</f>
        <v>3.3792896180989564</v>
      </c>
      <c r="K30" s="73">
        <v>14.799999999999999</v>
      </c>
    </row>
    <row r="31" spans="1:11">
      <c r="A31" s="62">
        <v>2003</v>
      </c>
      <c r="B31" s="23">
        <v>25.265999999999998</v>
      </c>
      <c r="C31" s="54">
        <v>1965.7079999999999</v>
      </c>
      <c r="D31" s="54">
        <v>4.6857895790579995</v>
      </c>
      <c r="E31" s="23">
        <f t="shared" si="1"/>
        <v>1995.659789579058</v>
      </c>
      <c r="F31" s="23">
        <f t="shared" si="3"/>
        <v>1552.3566775052323</v>
      </c>
      <c r="G31" s="54">
        <v>419.70311207382599</v>
      </c>
      <c r="H31" s="23">
        <f t="shared" si="0"/>
        <v>1972.0597895790581</v>
      </c>
      <c r="I31" s="54">
        <v>1107.6326775052321</v>
      </c>
      <c r="J31" s="89">
        <f>+I31/290.82</f>
        <v>3.808653729128781</v>
      </c>
      <c r="K31" s="73">
        <v>20.341666666666665</v>
      </c>
    </row>
    <row r="32" spans="1:11">
      <c r="A32" s="62">
        <v>2004</v>
      </c>
      <c r="B32" s="23">
        <v>23.6</v>
      </c>
      <c r="C32" s="54">
        <v>1817.691</v>
      </c>
      <c r="D32" s="54">
        <v>0.96644455538399998</v>
      </c>
      <c r="E32" s="23">
        <f t="shared" si="1"/>
        <v>1842.2574445553839</v>
      </c>
      <c r="F32" s="23">
        <f t="shared" si="3"/>
        <v>1564.5349549963098</v>
      </c>
      <c r="G32" s="54">
        <v>255.37848955907401</v>
      </c>
      <c r="H32" s="23">
        <f t="shared" si="0"/>
        <v>1819.9134445553839</v>
      </c>
      <c r="I32" s="54">
        <v>1163.2779549963097</v>
      </c>
      <c r="J32" s="89">
        <f>+I32/293.463</f>
        <v>3.9639680470666137</v>
      </c>
      <c r="K32" s="73">
        <v>19.741666666666667</v>
      </c>
    </row>
    <row r="33" spans="1:11">
      <c r="A33" s="62">
        <v>2005</v>
      </c>
      <c r="B33" s="23">
        <v>22.344000000000001</v>
      </c>
      <c r="C33" s="54">
        <v>1812.5000000000002</v>
      </c>
      <c r="D33" s="54">
        <v>1.0410136899120002</v>
      </c>
      <c r="E33" s="23">
        <f t="shared" si="1"/>
        <v>1835.8850136899123</v>
      </c>
      <c r="F33" s="23">
        <f t="shared" si="3"/>
        <v>1517.7210791812004</v>
      </c>
      <c r="G33" s="54">
        <v>293.45193450871199</v>
      </c>
      <c r="H33" s="23">
        <f t="shared" si="0"/>
        <v>1811.1730136899123</v>
      </c>
      <c r="I33" s="54">
        <v>1115.7740791812</v>
      </c>
      <c r="J33" s="89">
        <f>+I33/296.186</f>
        <v>3.7671398350401439</v>
      </c>
      <c r="K33" s="73">
        <v>19.139999999999997</v>
      </c>
    </row>
    <row r="34" spans="1:11">
      <c r="A34" s="62">
        <v>2006</v>
      </c>
      <c r="B34" s="23">
        <v>24.712</v>
      </c>
      <c r="C34" s="54">
        <v>1861.2999999999997</v>
      </c>
      <c r="D34" s="54">
        <v>6.519677934294001</v>
      </c>
      <c r="E34" s="23">
        <f t="shared" si="1"/>
        <v>1892.5316779342936</v>
      </c>
      <c r="F34" s="23">
        <f t="shared" si="3"/>
        <v>1583.0290713755737</v>
      </c>
      <c r="G34" s="54">
        <v>274.90260655871998</v>
      </c>
      <c r="H34" s="23">
        <f t="shared" si="0"/>
        <v>1857.9316779342937</v>
      </c>
      <c r="I34" s="54">
        <v>1160.452071375574</v>
      </c>
      <c r="J34" s="89">
        <f>+I34/298.996</f>
        <v>3.881162528514007</v>
      </c>
      <c r="K34" s="73">
        <v>18.740833333333331</v>
      </c>
    </row>
    <row r="35" spans="1:11">
      <c r="A35" s="62">
        <v>2007</v>
      </c>
      <c r="B35" s="23">
        <v>34.6</v>
      </c>
      <c r="C35" s="54">
        <v>1788.9390000000001</v>
      </c>
      <c r="D35" s="54">
        <v>7.4656415512979999</v>
      </c>
      <c r="E35" s="23">
        <f t="shared" si="1"/>
        <v>1831.0046415512979</v>
      </c>
      <c r="F35" s="23">
        <f t="shared" ref="F35:F41" si="4">+H35-G35</f>
        <v>1403.931995104268</v>
      </c>
      <c r="G35" s="54">
        <v>388.19064644702996</v>
      </c>
      <c r="H35" s="23">
        <f t="shared" si="0"/>
        <v>1792.1226415512979</v>
      </c>
      <c r="I35" s="54">
        <v>889.44699510426767</v>
      </c>
      <c r="J35" s="89">
        <f>+I35/302.004</f>
        <v>2.945149716905298</v>
      </c>
      <c r="K35" s="73">
        <v>30.757500000000004</v>
      </c>
    </row>
    <row r="36" spans="1:11">
      <c r="A36" s="62">
        <v>2008</v>
      </c>
      <c r="B36" s="23">
        <v>38.881999999999998</v>
      </c>
      <c r="C36" s="54">
        <v>1793.7999999999997</v>
      </c>
      <c r="D36" s="54">
        <v>30.284713839618</v>
      </c>
      <c r="E36" s="23">
        <f t="shared" si="1"/>
        <v>1862.9667138396178</v>
      </c>
      <c r="F36" s="23">
        <f t="shared" si="4"/>
        <v>1648.1578205958319</v>
      </c>
      <c r="G36" s="54">
        <v>185.30589324378602</v>
      </c>
      <c r="H36" s="23">
        <f t="shared" si="0"/>
        <v>1833.4637138396179</v>
      </c>
      <c r="I36" s="54">
        <v>896.26082059583189</v>
      </c>
      <c r="J36" s="89">
        <f>+I36/304.798</f>
        <v>2.9405075512169763</v>
      </c>
      <c r="K36" s="73">
        <v>38.055833333333339</v>
      </c>
    </row>
    <row r="37" spans="1:11">
      <c r="A37" s="62">
        <v>2009</v>
      </c>
      <c r="B37" s="23">
        <v>29.503</v>
      </c>
      <c r="C37" s="54">
        <v>1837.3</v>
      </c>
      <c r="D37" s="54">
        <v>35.888933511521998</v>
      </c>
      <c r="E37" s="23">
        <f t="shared" si="1"/>
        <v>1902.6919335115219</v>
      </c>
      <c r="F37" s="23">
        <f t="shared" si="4"/>
        <v>1710.1766933281838</v>
      </c>
      <c r="G37" s="54">
        <v>161.81524018333801</v>
      </c>
      <c r="H37" s="23">
        <f t="shared" si="0"/>
        <v>1871.9919335115219</v>
      </c>
      <c r="I37" s="54">
        <v>211.57369332818405</v>
      </c>
      <c r="J37" s="89">
        <f>+I37/307.439</f>
        <v>0.68818104836466432</v>
      </c>
      <c r="K37" s="73">
        <v>27.522499999999997</v>
      </c>
    </row>
    <row r="38" spans="1:11">
      <c r="A38" s="62">
        <v>2010</v>
      </c>
      <c r="B38" s="23">
        <v>30.7</v>
      </c>
      <c r="C38" s="54">
        <v>1859.34608</v>
      </c>
      <c r="D38" s="54">
        <v>23.258830443281997</v>
      </c>
      <c r="E38" s="23">
        <f t="shared" si="1"/>
        <v>1913.3049104432821</v>
      </c>
      <c r="F38" s="23">
        <f t="shared" si="4"/>
        <v>1692.9546697296</v>
      </c>
      <c r="G38" s="54">
        <v>182.74824071368201</v>
      </c>
      <c r="H38" s="23">
        <f t="shared" si="0"/>
        <v>1875.702910443282</v>
      </c>
      <c r="I38" s="54">
        <v>1050.0342197296</v>
      </c>
      <c r="J38" s="89">
        <f>+I38/309.348193</f>
        <v>3.3943441193128288</v>
      </c>
      <c r="K38" s="73">
        <v>35.302500000000002</v>
      </c>
    </row>
    <row r="39" spans="1:11">
      <c r="A39" s="62">
        <v>2011</v>
      </c>
      <c r="B39" s="23">
        <v>37.601999999999997</v>
      </c>
      <c r="C39" s="54">
        <v>2050.1001679999999</v>
      </c>
      <c r="D39" s="54">
        <v>28.790562143825998</v>
      </c>
      <c r="E39" s="23">
        <f t="shared" si="1"/>
        <v>2116.4927301438256</v>
      </c>
      <c r="F39" s="23">
        <f t="shared" si="4"/>
        <v>1954.1203600709175</v>
      </c>
      <c r="G39" s="54">
        <v>132.37237007290801</v>
      </c>
      <c r="H39" s="23">
        <f t="shared" si="0"/>
        <v>2086.4927301438256</v>
      </c>
      <c r="I39" s="89" t="s">
        <v>266</v>
      </c>
      <c r="J39" s="89" t="s">
        <v>266</v>
      </c>
      <c r="K39" s="73">
        <v>53.396666666666668</v>
      </c>
    </row>
    <row r="40" spans="1:11">
      <c r="A40" s="62">
        <v>2012</v>
      </c>
      <c r="B40" s="23">
        <v>30</v>
      </c>
      <c r="C40" s="54">
        <v>2055.283488</v>
      </c>
      <c r="D40" s="54">
        <v>51.365293971264002</v>
      </c>
      <c r="E40" s="23">
        <f t="shared" si="1"/>
        <v>2136.6487819712638</v>
      </c>
      <c r="F40" s="23">
        <f t="shared" si="4"/>
        <v>1940.4232197277679</v>
      </c>
      <c r="G40" s="54">
        <v>166.225562243496</v>
      </c>
      <c r="H40" s="23">
        <f t="shared" si="0"/>
        <v>2106.6487819712638</v>
      </c>
      <c r="I40" s="89" t="s">
        <v>266</v>
      </c>
      <c r="J40" s="89" t="s">
        <v>266</v>
      </c>
      <c r="K40" s="73">
        <v>47.990833333333335</v>
      </c>
    </row>
    <row r="41" spans="1:11">
      <c r="A41" s="62">
        <v>2013</v>
      </c>
      <c r="B41" s="23">
        <v>30</v>
      </c>
      <c r="C41" s="54">
        <v>2042.8225439999999</v>
      </c>
      <c r="D41" s="54">
        <v>49.489934471586004</v>
      </c>
      <c r="E41" s="23">
        <f t="shared" si="1"/>
        <v>2122.3124784715856</v>
      </c>
      <c r="F41" s="23">
        <f t="shared" si="4"/>
        <v>1935.4579839139014</v>
      </c>
      <c r="G41" s="54">
        <v>156.85449455768401</v>
      </c>
      <c r="H41" s="23">
        <f t="shared" si="0"/>
        <v>2092.3124784715856</v>
      </c>
      <c r="I41" s="89" t="s">
        <v>266</v>
      </c>
      <c r="J41" s="89" t="s">
        <v>266</v>
      </c>
      <c r="K41" s="73">
        <v>42.519166666666671</v>
      </c>
    </row>
    <row r="42" spans="1:11">
      <c r="A42" s="62">
        <v>2014</v>
      </c>
      <c r="B42" s="23">
        <v>30</v>
      </c>
      <c r="C42" s="54">
        <v>1922.1753600000004</v>
      </c>
      <c r="D42" s="54">
        <v>51.677933621706003</v>
      </c>
      <c r="E42" s="23">
        <f t="shared" si="1"/>
        <v>2003.8532936217064</v>
      </c>
      <c r="F42" s="23">
        <f>+H42-G42</f>
        <v>1883.9429573949183</v>
      </c>
      <c r="G42" s="204">
        <v>89.910336226788004</v>
      </c>
      <c r="H42" s="23">
        <f t="shared" si="0"/>
        <v>1973.8532936217064</v>
      </c>
      <c r="I42" s="89" t="s">
        <v>266</v>
      </c>
      <c r="J42" s="89" t="s">
        <v>266</v>
      </c>
      <c r="K42" s="73">
        <v>38.910833333333336</v>
      </c>
    </row>
    <row r="43" spans="1:11">
      <c r="A43" s="62">
        <v>2015</v>
      </c>
      <c r="B43" s="23">
        <v>30</v>
      </c>
      <c r="C43" s="54">
        <v>1927.5174400000001</v>
      </c>
      <c r="D43" s="54">
        <v>45.307188926621997</v>
      </c>
      <c r="E43" s="23">
        <f t="shared" si="1"/>
        <v>2002.8246289266222</v>
      </c>
      <c r="F43" s="23">
        <f>+H43-G43</f>
        <v>1830.281096480214</v>
      </c>
      <c r="G43" s="204">
        <v>142.77653244640803</v>
      </c>
      <c r="H43" s="23">
        <f t="shared" si="0"/>
        <v>1973.0576289266221</v>
      </c>
      <c r="I43" s="89" t="s">
        <v>266</v>
      </c>
      <c r="J43" s="89" t="s">
        <v>266</v>
      </c>
      <c r="K43" s="73">
        <v>28.418333333333337</v>
      </c>
    </row>
    <row r="44" spans="1:11">
      <c r="A44" s="62">
        <v>2016</v>
      </c>
      <c r="B44" s="23">
        <v>29.767000000000003</v>
      </c>
      <c r="C44" s="204">
        <v>2143.2270000000003</v>
      </c>
      <c r="D44" s="204">
        <v>62.274325805874</v>
      </c>
      <c r="E44" s="23">
        <f t="shared" si="1"/>
        <v>2235.2683258058742</v>
      </c>
      <c r="F44" s="23">
        <f>+H44-G44</f>
        <v>1929.456829937084</v>
      </c>
      <c r="G44" s="204">
        <v>264.87749586878999</v>
      </c>
      <c r="H44" s="23">
        <f t="shared" si="0"/>
        <v>2194.334325805874</v>
      </c>
      <c r="I44" s="89" t="s">
        <v>266</v>
      </c>
      <c r="J44" s="89" t="s">
        <v>266</v>
      </c>
      <c r="K44" s="73">
        <v>32.962499999999999</v>
      </c>
    </row>
    <row r="45" spans="1:11">
      <c r="A45" s="62">
        <v>2017</v>
      </c>
      <c r="B45" s="204">
        <v>40.933999999999997</v>
      </c>
      <c r="C45" s="204">
        <v>2052.788</v>
      </c>
      <c r="D45" s="204">
        <v>64.842564930822007</v>
      </c>
      <c r="E45" s="204">
        <f>SUM(B45:D45)</f>
        <v>2158.5645649308221</v>
      </c>
      <c r="F45" s="54">
        <f>+H45-G45</f>
        <v>1944.8351704044801</v>
      </c>
      <c r="G45" s="204">
        <v>180.69139452634204</v>
      </c>
      <c r="H45" s="54">
        <f>E45-33.038</f>
        <v>2125.5265649308221</v>
      </c>
      <c r="I45" s="340" t="s">
        <v>266</v>
      </c>
      <c r="J45" s="341" t="s">
        <v>266</v>
      </c>
      <c r="K45" s="225">
        <v>34.432499999999997</v>
      </c>
    </row>
    <row r="46" spans="1:11">
      <c r="A46" s="11" t="s">
        <v>624</v>
      </c>
      <c r="B46" s="203">
        <v>33.037999999999997</v>
      </c>
      <c r="C46" s="203">
        <v>2233.3879999999999</v>
      </c>
      <c r="D46" s="203">
        <v>35.475132575987999</v>
      </c>
      <c r="E46" s="203">
        <f>SUM(B46:D46)</f>
        <v>2301.901132575988</v>
      </c>
      <c r="F46" s="24">
        <f>+H46-G46</f>
        <v>2008.9265385302299</v>
      </c>
      <c r="G46" s="203">
        <v>259.936594045758</v>
      </c>
      <c r="H46" s="24">
        <f>E46-33.038</f>
        <v>2268.8631325759879</v>
      </c>
      <c r="I46" s="146" t="s">
        <v>266</v>
      </c>
      <c r="J46" s="88" t="s">
        <v>266</v>
      </c>
      <c r="K46" s="202">
        <v>31.23</v>
      </c>
    </row>
    <row r="47" spans="1:11" ht="13.2" customHeight="1">
      <c r="A47" s="107" t="s">
        <v>606</v>
      </c>
    </row>
    <row r="48" spans="1:11" ht="13.2" customHeight="1">
      <c r="A48" s="107" t="s">
        <v>558</v>
      </c>
    </row>
    <row r="49" spans="1:12" ht="10.199999999999999" customHeight="1">
      <c r="A49" s="107" t="s">
        <v>559</v>
      </c>
      <c r="K49" s="145"/>
      <c r="L49" s="145"/>
    </row>
    <row r="50" spans="1:12">
      <c r="K50" s="278" t="s">
        <v>679</v>
      </c>
    </row>
  </sheetData>
  <phoneticPr fontId="0" type="noConversion"/>
  <pageMargins left="0.7" right="0.7" top="0.75" bottom="0.75" header="0.3" footer="0.3"/>
  <pageSetup scale="79" firstPageNumber="77" orientation="portrait" useFirstPageNumber="1" r:id="rId1"/>
  <headerFooter alignWithMargins="0">
    <oddFooter>&amp;C&amp;P
Oil Crops Yearbook/OCS-2018
March 2018
Economic Research Service, USDA</oddFooter>
  </headerFooter>
  <ignoredErrors>
    <ignoredError sqref="E8:E44" formulaRange="1"/>
  </ignoredErrors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71"/>
  <sheetViews>
    <sheetView topLeftCell="A48" zoomScaleNormal="100" zoomScaleSheetLayoutView="100" workbookViewId="0">
      <selection activeCell="A105" sqref="A105"/>
    </sheetView>
  </sheetViews>
  <sheetFormatPr defaultRowHeight="10.199999999999999"/>
  <cols>
    <col min="1" max="1" width="15.7109375" customWidth="1"/>
    <col min="2" max="6" width="9.7109375" customWidth="1"/>
    <col min="7" max="7" width="8.7109375" customWidth="1"/>
    <col min="8" max="8" width="15.7109375" customWidth="1"/>
    <col min="9" max="13" width="9.7109375" customWidth="1"/>
  </cols>
  <sheetData>
    <row r="1" spans="1:13">
      <c r="A1" s="136" t="s">
        <v>677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C2" s="3" t="s">
        <v>399</v>
      </c>
      <c r="D2" s="3"/>
      <c r="E2" s="22"/>
      <c r="J2" s="3" t="s">
        <v>399</v>
      </c>
      <c r="K2" s="3"/>
      <c r="L2" s="22"/>
    </row>
    <row r="3" spans="1:13">
      <c r="B3" s="282" t="s">
        <v>137</v>
      </c>
      <c r="C3" s="238" t="s">
        <v>242</v>
      </c>
      <c r="D3" s="238" t="s">
        <v>242</v>
      </c>
      <c r="E3" s="282" t="s">
        <v>3</v>
      </c>
      <c r="F3" s="282" t="s">
        <v>245</v>
      </c>
      <c r="I3" s="282" t="s">
        <v>137</v>
      </c>
      <c r="J3" s="238" t="s">
        <v>242</v>
      </c>
      <c r="K3" s="238" t="s">
        <v>242</v>
      </c>
      <c r="L3" s="282" t="s">
        <v>3</v>
      </c>
      <c r="M3" s="282" t="s">
        <v>245</v>
      </c>
    </row>
    <row r="4" spans="1:13">
      <c r="B4" s="282" t="s">
        <v>138</v>
      </c>
      <c r="C4" s="238" t="s">
        <v>227</v>
      </c>
      <c r="D4" s="238" t="s">
        <v>244</v>
      </c>
      <c r="E4" s="282" t="s">
        <v>284</v>
      </c>
      <c r="F4" s="282" t="s">
        <v>246</v>
      </c>
      <c r="I4" s="282" t="s">
        <v>138</v>
      </c>
      <c r="J4" s="238" t="s">
        <v>227</v>
      </c>
      <c r="K4" s="238" t="s">
        <v>244</v>
      </c>
      <c r="L4" s="282" t="s">
        <v>284</v>
      </c>
      <c r="M4" s="282" t="s">
        <v>246</v>
      </c>
    </row>
    <row r="5" spans="1:13">
      <c r="A5" s="1"/>
      <c r="B5" s="283"/>
      <c r="C5" s="283" t="s">
        <v>243</v>
      </c>
      <c r="D5" s="283" t="s">
        <v>146</v>
      </c>
      <c r="E5" s="283"/>
      <c r="F5" s="283"/>
      <c r="G5" s="1"/>
      <c r="H5" s="1"/>
      <c r="I5" s="283"/>
      <c r="J5" s="283" t="s">
        <v>243</v>
      </c>
      <c r="K5" s="283" t="s">
        <v>146</v>
      </c>
      <c r="L5" s="283"/>
      <c r="M5" s="283"/>
    </row>
    <row r="6" spans="1:13">
      <c r="C6" s="277"/>
      <c r="D6" s="277"/>
      <c r="E6" s="277"/>
      <c r="F6" s="277"/>
      <c r="G6" s="277"/>
      <c r="H6" s="302" t="s">
        <v>241</v>
      </c>
      <c r="I6" s="277"/>
      <c r="J6" s="277"/>
      <c r="K6" s="277"/>
      <c r="L6" s="277"/>
      <c r="M6" s="277"/>
    </row>
    <row r="7" spans="1:13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191" customFormat="1" ht="10.199999999999999" customHeight="1">
      <c r="A8" s="194" t="s">
        <v>495</v>
      </c>
      <c r="H8" s="195" t="s">
        <v>653</v>
      </c>
      <c r="I8" s="195"/>
      <c r="J8" s="195"/>
      <c r="K8" s="195"/>
      <c r="L8" s="195"/>
      <c r="M8" s="195"/>
    </row>
    <row r="9" spans="1:13" s="191" customFormat="1" ht="10.199999999999999" customHeight="1">
      <c r="A9" s="191" t="s">
        <v>228</v>
      </c>
      <c r="H9" s="195" t="s">
        <v>228</v>
      </c>
      <c r="I9" s="195"/>
      <c r="J9" s="195"/>
      <c r="K9" s="195"/>
      <c r="L9" s="195"/>
      <c r="M9" s="195"/>
    </row>
    <row r="10" spans="1:13" s="191" customFormat="1" ht="10.199999999999999" customHeight="1">
      <c r="A10" s="191" t="s">
        <v>229</v>
      </c>
      <c r="H10" s="195" t="s">
        <v>229</v>
      </c>
      <c r="I10" s="195"/>
      <c r="J10" s="195"/>
      <c r="K10" s="195"/>
      <c r="L10" s="195"/>
      <c r="M10" s="195"/>
    </row>
    <row r="11" spans="1:13" ht="10.199999999999999" customHeight="1">
      <c r="A11" t="s">
        <v>230</v>
      </c>
      <c r="B11" s="247">
        <v>5.19</v>
      </c>
      <c r="C11" s="247">
        <v>50.88</v>
      </c>
      <c r="D11" s="247">
        <v>18.850000000000001</v>
      </c>
      <c r="E11" s="247">
        <v>72.7</v>
      </c>
      <c r="F11" s="247">
        <v>77.89</v>
      </c>
      <c r="G11" s="191"/>
      <c r="H11" s="153" t="s">
        <v>230</v>
      </c>
      <c r="I11" s="247">
        <f>B47</f>
        <v>8.2100000000000009</v>
      </c>
      <c r="J11" s="247">
        <f>C47</f>
        <v>60.94</v>
      </c>
      <c r="K11" s="247">
        <f>D47</f>
        <v>23.21</v>
      </c>
      <c r="L11" s="247">
        <f>E47</f>
        <v>87.609999999999985</v>
      </c>
      <c r="M11" s="247">
        <f>F47</f>
        <v>95.82</v>
      </c>
    </row>
    <row r="12" spans="1:13" ht="10.199999999999999" customHeight="1">
      <c r="A12" t="s">
        <v>231</v>
      </c>
      <c r="B12" s="247">
        <v>106.857</v>
      </c>
      <c r="C12" s="247">
        <v>164.73</v>
      </c>
      <c r="D12" s="247">
        <v>15.48</v>
      </c>
      <c r="E12" s="247">
        <v>206.91299999999998</v>
      </c>
      <c r="F12" s="247">
        <v>313.77</v>
      </c>
      <c r="G12" s="191"/>
      <c r="H12" s="153" t="s">
        <v>231</v>
      </c>
      <c r="I12" s="247">
        <v>120.07</v>
      </c>
      <c r="J12" s="247">
        <v>170.23</v>
      </c>
      <c r="K12" s="247">
        <v>19.239999999999998</v>
      </c>
      <c r="L12" s="247">
        <f>M12-I12</f>
        <v>220.40000000000003</v>
      </c>
      <c r="M12" s="247">
        <v>340.47</v>
      </c>
    </row>
    <row r="13" spans="1:13" ht="10.199999999999999" customHeight="1">
      <c r="A13" t="s">
        <v>232</v>
      </c>
      <c r="B13" s="247">
        <v>0.64</v>
      </c>
      <c r="C13" s="247">
        <v>1.1180000000000001</v>
      </c>
      <c r="D13" s="247">
        <v>113.5</v>
      </c>
      <c r="E13" s="247">
        <v>132.69000000000003</v>
      </c>
      <c r="F13" s="247">
        <v>133.33000000000001</v>
      </c>
      <c r="G13" s="191"/>
      <c r="H13" s="153" t="s">
        <v>232</v>
      </c>
      <c r="I13" s="247">
        <v>0.59</v>
      </c>
      <c r="J13" s="247">
        <v>5.23</v>
      </c>
      <c r="K13" s="247">
        <v>124.53</v>
      </c>
      <c r="L13" s="247">
        <f>M13-I13</f>
        <v>152.69</v>
      </c>
      <c r="M13" s="247">
        <v>153.28</v>
      </c>
    </row>
    <row r="14" spans="1:13" s="191" customFormat="1" ht="10.199999999999999" customHeight="1">
      <c r="A14" s="191" t="s">
        <v>233</v>
      </c>
      <c r="B14" s="247"/>
      <c r="C14" s="247"/>
      <c r="D14" s="247"/>
      <c r="E14" s="247"/>
      <c r="F14" s="247"/>
      <c r="H14" s="195" t="s">
        <v>233</v>
      </c>
      <c r="I14" s="247"/>
      <c r="J14" s="247"/>
      <c r="K14" s="247"/>
      <c r="L14" s="247"/>
      <c r="M14" s="247"/>
    </row>
    <row r="15" spans="1:13" ht="10.199999999999999" customHeight="1">
      <c r="A15" t="s">
        <v>234</v>
      </c>
      <c r="B15" s="247">
        <v>51.335000000000001</v>
      </c>
      <c r="C15" s="247">
        <v>86.89</v>
      </c>
      <c r="D15" s="247">
        <v>106.83</v>
      </c>
      <c r="E15" s="247">
        <v>224.02500000000001</v>
      </c>
      <c r="F15" s="247">
        <v>275.36</v>
      </c>
      <c r="G15" s="191"/>
      <c r="H15" s="153" t="s">
        <v>234</v>
      </c>
      <c r="I15" s="247">
        <v>55.93</v>
      </c>
      <c r="J15" s="247">
        <v>85.39</v>
      </c>
      <c r="K15" s="247">
        <v>116.01</v>
      </c>
      <c r="L15" s="247">
        <f>M15-I15</f>
        <v>239.2</v>
      </c>
      <c r="M15" s="247">
        <v>295.13</v>
      </c>
    </row>
    <row r="16" spans="1:13" ht="10.199999999999999" customHeight="1">
      <c r="A16" t="s">
        <v>235</v>
      </c>
      <c r="B16" s="247">
        <v>54.47</v>
      </c>
      <c r="C16" s="247">
        <v>94.65</v>
      </c>
      <c r="D16" s="247">
        <v>127.77</v>
      </c>
      <c r="E16" s="247">
        <v>259.67999999999995</v>
      </c>
      <c r="F16" s="247">
        <v>314.14999999999998</v>
      </c>
      <c r="G16" s="191"/>
      <c r="H16" s="153" t="s">
        <v>235</v>
      </c>
      <c r="I16" s="247">
        <v>59</v>
      </c>
      <c r="J16" s="247">
        <v>93.64</v>
      </c>
      <c r="K16" s="247">
        <v>140.35</v>
      </c>
      <c r="L16" s="247">
        <f>M16-I16</f>
        <v>279.05</v>
      </c>
      <c r="M16" s="247">
        <v>338.05</v>
      </c>
    </row>
    <row r="17" spans="1:14" ht="10.199999999999999" customHeight="1">
      <c r="A17" t="s">
        <v>236</v>
      </c>
      <c r="B17" s="247">
        <v>52.86</v>
      </c>
      <c r="C17" s="247">
        <v>71.88</v>
      </c>
      <c r="D17" s="247">
        <v>0.32300000000000001</v>
      </c>
      <c r="E17" s="247">
        <v>79.7</v>
      </c>
      <c r="F17" s="247">
        <v>132.56</v>
      </c>
      <c r="G17" s="191"/>
      <c r="H17" s="153" t="s">
        <v>236</v>
      </c>
      <c r="I17" s="247">
        <v>57.95</v>
      </c>
      <c r="J17" s="247">
        <v>85.57</v>
      </c>
      <c r="K17" s="247">
        <v>0.43</v>
      </c>
      <c r="L17" s="247">
        <f>M17-I17</f>
        <v>95.01</v>
      </c>
      <c r="M17" s="247">
        <v>152.96</v>
      </c>
    </row>
    <row r="18" spans="1:14" ht="10.199999999999999" customHeight="1">
      <c r="A18" t="s">
        <v>237</v>
      </c>
      <c r="B18" s="247">
        <v>5.3540000000000001</v>
      </c>
      <c r="C18" s="247">
        <v>51.83</v>
      </c>
      <c r="D18" s="247">
        <v>20</v>
      </c>
      <c r="E18" s="247">
        <v>75.05</v>
      </c>
      <c r="F18" s="247">
        <v>80.41</v>
      </c>
      <c r="G18" s="191"/>
      <c r="H18" s="153" t="s">
        <v>237</v>
      </c>
      <c r="I18" s="247">
        <v>11.92</v>
      </c>
      <c r="J18" s="247">
        <v>57.2</v>
      </c>
      <c r="K18" s="247">
        <v>26.19</v>
      </c>
      <c r="L18" s="247">
        <f>M18-I18</f>
        <v>86.64</v>
      </c>
      <c r="M18" s="247">
        <v>98.56</v>
      </c>
    </row>
    <row r="19" spans="1:14" s="191" customFormat="1" ht="10.199999999999999" customHeight="1">
      <c r="A19" s="191" t="s">
        <v>238</v>
      </c>
      <c r="B19" s="247"/>
      <c r="C19" s="247"/>
      <c r="D19" s="247"/>
      <c r="E19" s="247"/>
      <c r="F19" s="247"/>
      <c r="H19" s="195" t="s">
        <v>238</v>
      </c>
      <c r="I19" s="247"/>
      <c r="J19" s="247"/>
      <c r="K19" s="247"/>
      <c r="L19" s="247"/>
      <c r="M19" s="247"/>
    </row>
    <row r="20" spans="1:14" s="191" customFormat="1" ht="10.199999999999999" customHeight="1">
      <c r="A20" s="191" t="s">
        <v>229</v>
      </c>
      <c r="B20" s="247"/>
      <c r="C20" s="247"/>
      <c r="D20" s="247"/>
      <c r="E20" s="247"/>
      <c r="F20" s="247"/>
      <c r="H20" s="195" t="s">
        <v>229</v>
      </c>
      <c r="I20" s="247"/>
      <c r="J20" s="247"/>
      <c r="K20" s="247"/>
      <c r="L20" s="247"/>
      <c r="M20" s="247"/>
    </row>
    <row r="21" spans="1:14" ht="10.199999999999999" customHeight="1">
      <c r="A21" t="s">
        <v>230</v>
      </c>
      <c r="B21" s="247">
        <v>0.23599999999999999</v>
      </c>
      <c r="C21" s="247">
        <v>8.39</v>
      </c>
      <c r="D21" s="247">
        <v>1.99</v>
      </c>
      <c r="E21" s="247">
        <v>13.437999999999999</v>
      </c>
      <c r="F21" s="247">
        <v>13.673999999999999</v>
      </c>
      <c r="H21" s="153" t="s">
        <v>230</v>
      </c>
      <c r="I21" s="247">
        <f>B56</f>
        <v>0.36</v>
      </c>
      <c r="J21" s="247">
        <f>C56</f>
        <v>7.24</v>
      </c>
      <c r="K21" s="247">
        <f>D56</f>
        <v>1.86</v>
      </c>
      <c r="L21" s="247">
        <f>E56</f>
        <v>12.82</v>
      </c>
      <c r="M21" s="247">
        <f>F56</f>
        <v>13.18</v>
      </c>
    </row>
    <row r="22" spans="1:14" ht="10.199999999999999" customHeight="1">
      <c r="A22" t="s">
        <v>231</v>
      </c>
      <c r="B22" s="247">
        <v>40.526000000000003</v>
      </c>
      <c r="C22" s="247">
        <v>68.52</v>
      </c>
      <c r="D22" s="247">
        <v>16.420000000000002</v>
      </c>
      <c r="E22" s="247">
        <v>175.60399999999998</v>
      </c>
      <c r="F22" s="247">
        <v>216.13</v>
      </c>
      <c r="H22" s="153" t="s">
        <v>231</v>
      </c>
      <c r="I22" s="247">
        <v>44.65</v>
      </c>
      <c r="J22" s="247">
        <v>68.59</v>
      </c>
      <c r="K22" s="247">
        <v>16.29</v>
      </c>
      <c r="L22" s="247">
        <f>M22-I22</f>
        <v>187.68</v>
      </c>
      <c r="M22" s="247">
        <v>232.33</v>
      </c>
    </row>
    <row r="23" spans="1:14" ht="10.199999999999999" customHeight="1">
      <c r="A23" t="s">
        <v>232</v>
      </c>
      <c r="B23" s="247">
        <v>0.36599999999999999</v>
      </c>
      <c r="C23" s="247">
        <v>7.0000000000000007E-2</v>
      </c>
      <c r="D23" s="247">
        <v>36.47</v>
      </c>
      <c r="E23" s="247">
        <v>61.384</v>
      </c>
      <c r="F23" s="247">
        <v>61.75</v>
      </c>
      <c r="H23" s="153" t="s">
        <v>232</v>
      </c>
      <c r="I23" s="247">
        <v>0.45</v>
      </c>
      <c r="J23" s="247">
        <v>0.03</v>
      </c>
      <c r="K23" s="247">
        <v>36.799999999999997</v>
      </c>
      <c r="L23" s="247">
        <f>M23-I23</f>
        <v>59.54</v>
      </c>
      <c r="M23" s="247">
        <v>59.99</v>
      </c>
    </row>
    <row r="24" spans="1:14" ht="10.199999999999999" customHeight="1">
      <c r="A24" t="s">
        <v>233</v>
      </c>
      <c r="B24" s="247"/>
      <c r="C24" s="247"/>
      <c r="D24" s="247"/>
      <c r="E24" s="247"/>
      <c r="F24" s="247"/>
      <c r="G24" s="191"/>
      <c r="H24" s="195" t="s">
        <v>233</v>
      </c>
      <c r="I24" s="247"/>
      <c r="J24" s="247"/>
      <c r="K24" s="247"/>
      <c r="L24" s="247"/>
      <c r="M24" s="247"/>
    </row>
    <row r="25" spans="1:14" ht="10.199999999999999" customHeight="1">
      <c r="A25" t="s">
        <v>239</v>
      </c>
      <c r="B25" s="247">
        <v>30.036000000000001</v>
      </c>
      <c r="C25" s="247">
        <v>23.77</v>
      </c>
      <c r="D25" s="247">
        <v>52.47</v>
      </c>
      <c r="E25" s="247">
        <v>183.464</v>
      </c>
      <c r="F25" s="247">
        <v>213.5</v>
      </c>
      <c r="H25" s="153" t="s">
        <v>239</v>
      </c>
      <c r="I25" s="247">
        <v>32.21</v>
      </c>
      <c r="J25" s="247">
        <v>25.51</v>
      </c>
      <c r="K25" s="247">
        <v>52.97</v>
      </c>
      <c r="L25" s="247">
        <f>M25-I25</f>
        <v>197.2</v>
      </c>
      <c r="M25" s="247">
        <v>229.41</v>
      </c>
    </row>
    <row r="26" spans="1:14" ht="10.199999999999999" customHeight="1">
      <c r="A26" t="s">
        <v>236</v>
      </c>
      <c r="B26" s="247">
        <v>10.84</v>
      </c>
      <c r="C26" s="247">
        <v>46.15</v>
      </c>
      <c r="D26" s="247">
        <v>0.51</v>
      </c>
      <c r="E26" s="247">
        <v>54.59</v>
      </c>
      <c r="F26" s="247">
        <v>65.430000000000007</v>
      </c>
      <c r="H26" s="153" t="s">
        <v>236</v>
      </c>
      <c r="I26" s="247">
        <v>12.75</v>
      </c>
      <c r="J26" s="247">
        <v>43.26</v>
      </c>
      <c r="K26" s="247">
        <v>0.64</v>
      </c>
      <c r="L26" s="247">
        <f>M26-I26</f>
        <v>51.07</v>
      </c>
      <c r="M26" s="247">
        <v>63.82</v>
      </c>
    </row>
    <row r="27" spans="1:14" ht="10.199999999999999" customHeight="1">
      <c r="A27" t="s">
        <v>237</v>
      </c>
      <c r="B27" s="247">
        <v>0.24</v>
      </c>
      <c r="C27" s="247">
        <v>7.07</v>
      </c>
      <c r="D27" s="247">
        <v>2.21</v>
      </c>
      <c r="E27" s="247">
        <v>13.2</v>
      </c>
      <c r="F27" s="247">
        <v>13.44</v>
      </c>
      <c r="H27" s="153" t="s">
        <v>237</v>
      </c>
      <c r="I27" s="247">
        <v>0.5</v>
      </c>
      <c r="J27" s="247">
        <v>7.09</v>
      </c>
      <c r="K27" s="247">
        <v>1.35</v>
      </c>
      <c r="L27" s="247">
        <f>M27-I27</f>
        <v>11.78</v>
      </c>
      <c r="M27" s="247">
        <v>12.28</v>
      </c>
    </row>
    <row r="28" spans="1:14" s="191" customFormat="1" ht="10.199999999999999" customHeight="1">
      <c r="A28" s="191" t="s">
        <v>240</v>
      </c>
      <c r="B28" s="247"/>
      <c r="C28" s="247"/>
      <c r="D28" s="247"/>
      <c r="E28" s="247"/>
      <c r="F28" s="247"/>
      <c r="H28" s="195" t="s">
        <v>240</v>
      </c>
      <c r="I28" s="247"/>
      <c r="J28" s="247"/>
      <c r="K28" s="247"/>
      <c r="L28" s="247"/>
      <c r="M28" s="247"/>
    </row>
    <row r="29" spans="1:14" s="191" customFormat="1" ht="10.199999999999999" customHeight="1">
      <c r="A29" s="191" t="s">
        <v>229</v>
      </c>
      <c r="B29" s="247"/>
      <c r="C29" s="247"/>
      <c r="D29" s="247"/>
      <c r="E29" s="247"/>
      <c r="F29" s="247"/>
      <c r="H29" s="195" t="s">
        <v>229</v>
      </c>
      <c r="I29" s="247"/>
      <c r="J29" s="247"/>
      <c r="K29" s="247"/>
      <c r="L29" s="247"/>
      <c r="M29" s="247"/>
    </row>
    <row r="30" spans="1:14" ht="10.199999999999999" customHeight="1">
      <c r="A30" t="s">
        <v>230</v>
      </c>
      <c r="B30" s="247">
        <v>0.84099999999999997</v>
      </c>
      <c r="C30" s="247">
        <v>0.95</v>
      </c>
      <c r="D30" s="247">
        <v>1.57</v>
      </c>
      <c r="E30" s="247">
        <v>3.4649999999999999</v>
      </c>
      <c r="F30" s="247">
        <v>4.306</v>
      </c>
      <c r="H30" s="153" t="s">
        <v>230</v>
      </c>
      <c r="I30" s="247">
        <f>B65</f>
        <v>0.78</v>
      </c>
      <c r="J30" s="247">
        <f>C65</f>
        <v>0.74</v>
      </c>
      <c r="K30" s="247">
        <f>D65</f>
        <v>1.22</v>
      </c>
      <c r="L30" s="247">
        <f>E65</f>
        <v>2.96</v>
      </c>
      <c r="M30" s="247">
        <f>F65</f>
        <v>3.74</v>
      </c>
      <c r="N30" s="191"/>
    </row>
    <row r="31" spans="1:14" ht="10.199999999999999" customHeight="1">
      <c r="A31" t="s">
        <v>231</v>
      </c>
      <c r="B31" s="247">
        <v>9.9570000000000007</v>
      </c>
      <c r="C31" s="247">
        <v>18.899999999999999</v>
      </c>
      <c r="D31" s="247">
        <v>15.95</v>
      </c>
      <c r="E31" s="247">
        <v>41.643000000000001</v>
      </c>
      <c r="F31" s="247">
        <v>51.6</v>
      </c>
      <c r="H31" s="153" t="s">
        <v>231</v>
      </c>
      <c r="I31" s="247">
        <v>10.78</v>
      </c>
      <c r="J31" s="247">
        <v>18.61</v>
      </c>
      <c r="K31" s="247">
        <v>18.22</v>
      </c>
      <c r="L31" s="247">
        <f>M31-I31</f>
        <v>44.39</v>
      </c>
      <c r="M31" s="247">
        <v>55.17</v>
      </c>
      <c r="N31" s="191"/>
    </row>
    <row r="32" spans="1:14" ht="10.199999999999999" customHeight="1">
      <c r="A32" t="s">
        <v>232</v>
      </c>
      <c r="B32" s="247">
        <v>0.13100000000000001</v>
      </c>
      <c r="C32" s="247">
        <v>0.39</v>
      </c>
      <c r="D32" s="247">
        <v>6.85</v>
      </c>
      <c r="E32" s="247">
        <v>11.509</v>
      </c>
      <c r="F32" s="247">
        <v>11.64</v>
      </c>
      <c r="H32" s="153" t="s">
        <v>232</v>
      </c>
      <c r="I32" s="247">
        <v>0.15</v>
      </c>
      <c r="J32" s="247">
        <v>0.33</v>
      </c>
      <c r="K32" s="247">
        <v>5</v>
      </c>
      <c r="L32" s="247">
        <f>M32-I32</f>
        <v>9.57</v>
      </c>
      <c r="M32" s="247">
        <v>9.7200000000000006</v>
      </c>
      <c r="N32" s="191"/>
    </row>
    <row r="33" spans="1:22" s="191" customFormat="1" ht="10.199999999999999" customHeight="1">
      <c r="A33" s="191" t="s">
        <v>233</v>
      </c>
      <c r="B33" s="247"/>
      <c r="C33" s="247"/>
      <c r="D33" s="247"/>
      <c r="E33" s="247"/>
      <c r="F33" s="247"/>
      <c r="H33" s="195" t="s">
        <v>233</v>
      </c>
      <c r="I33" s="247"/>
      <c r="J33" s="247"/>
      <c r="K33" s="247"/>
      <c r="L33" s="247"/>
      <c r="M33" s="247"/>
    </row>
    <row r="34" spans="1:22" ht="10.199999999999999" customHeight="1">
      <c r="A34" t="s">
        <v>239</v>
      </c>
      <c r="B34" s="247">
        <v>9.1479999999999997</v>
      </c>
      <c r="C34" s="247">
        <v>11.41</v>
      </c>
      <c r="D34" s="247">
        <v>22.99</v>
      </c>
      <c r="E34" s="247">
        <v>43.022000000000006</v>
      </c>
      <c r="F34" s="247">
        <v>52.17</v>
      </c>
      <c r="H34" s="153" t="s">
        <v>239</v>
      </c>
      <c r="I34" s="247">
        <v>9.6999999999999993</v>
      </c>
      <c r="J34" s="247">
        <v>12.25</v>
      </c>
      <c r="K34" s="247">
        <v>23.31</v>
      </c>
      <c r="L34" s="247">
        <f>M34-I34</f>
        <v>44.81</v>
      </c>
      <c r="M34" s="247">
        <v>54.51</v>
      </c>
      <c r="N34" s="191"/>
    </row>
    <row r="35" spans="1:22" ht="10.199999999999999" customHeight="1">
      <c r="A35" t="s">
        <v>236</v>
      </c>
      <c r="B35" s="247">
        <v>1.016</v>
      </c>
      <c r="C35" s="247">
        <v>8.16</v>
      </c>
      <c r="D35" s="247">
        <v>0.17</v>
      </c>
      <c r="E35" s="247">
        <v>10.754</v>
      </c>
      <c r="F35" s="247">
        <v>11.77</v>
      </c>
      <c r="H35" s="153" t="s">
        <v>236</v>
      </c>
      <c r="I35" s="247">
        <v>1.1100000000000001</v>
      </c>
      <c r="J35" s="247">
        <v>6.55</v>
      </c>
      <c r="K35" s="247">
        <v>0.27</v>
      </c>
      <c r="L35" s="247">
        <f>M35-I35</f>
        <v>9.3800000000000008</v>
      </c>
      <c r="M35" s="247">
        <v>10.49</v>
      </c>
      <c r="N35" s="191"/>
    </row>
    <row r="36" spans="1:22" s="38" customFormat="1" ht="9.75" customHeight="1">
      <c r="A36" s="38" t="s">
        <v>237</v>
      </c>
      <c r="B36" s="247">
        <v>0.77</v>
      </c>
      <c r="C36" s="247">
        <v>0.71</v>
      </c>
      <c r="D36" s="247">
        <v>1.29</v>
      </c>
      <c r="E36" s="247">
        <v>2.99</v>
      </c>
      <c r="F36" s="247">
        <v>3.75</v>
      </c>
      <c r="H36" s="229" t="s">
        <v>237</v>
      </c>
      <c r="I36" s="247">
        <v>0.9</v>
      </c>
      <c r="J36" s="247">
        <v>0.88</v>
      </c>
      <c r="K36" s="247">
        <v>0.87</v>
      </c>
      <c r="L36" s="247">
        <f>M36-I36</f>
        <v>2.72</v>
      </c>
      <c r="M36" s="247">
        <v>3.62</v>
      </c>
      <c r="N36" s="196"/>
    </row>
    <row r="37" spans="1:22" s="191" customFormat="1" ht="15.75" customHeight="1">
      <c r="A37" s="194" t="s">
        <v>498</v>
      </c>
      <c r="B37" s="247"/>
      <c r="C37" s="247"/>
      <c r="D37" s="247"/>
      <c r="E37" s="247"/>
      <c r="F37" s="247"/>
      <c r="H37" s="194" t="s">
        <v>654</v>
      </c>
      <c r="I37" s="247"/>
      <c r="J37" s="247"/>
      <c r="K37" s="247"/>
      <c r="L37" s="247"/>
      <c r="M37" s="247"/>
    </row>
    <row r="38" spans="1:22" s="191" customFormat="1" ht="10.199999999999999" customHeight="1">
      <c r="A38" s="191" t="s">
        <v>228</v>
      </c>
      <c r="B38" s="247"/>
      <c r="C38" s="247"/>
      <c r="D38" s="247"/>
      <c r="E38" s="247"/>
      <c r="F38" s="247"/>
      <c r="H38" s="191" t="s">
        <v>228</v>
      </c>
      <c r="I38" s="247"/>
      <c r="J38" s="247"/>
      <c r="K38" s="247"/>
      <c r="L38" s="247"/>
      <c r="M38" s="247"/>
    </row>
    <row r="39" spans="1:22" s="191" customFormat="1" ht="10.199999999999999" customHeight="1">
      <c r="A39" s="191" t="s">
        <v>229</v>
      </c>
      <c r="B39" s="247"/>
      <c r="C39" s="247"/>
      <c r="D39" s="247"/>
      <c r="E39" s="247"/>
      <c r="F39" s="247"/>
      <c r="H39" s="191" t="s">
        <v>229</v>
      </c>
      <c r="I39" s="247"/>
      <c r="J39" s="247"/>
      <c r="K39" s="247"/>
      <c r="L39" s="247"/>
      <c r="M39" s="247"/>
    </row>
    <row r="40" spans="1:22" ht="10.199999999999999" customHeight="1">
      <c r="A40" t="s">
        <v>230</v>
      </c>
      <c r="B40" s="247">
        <f>B18</f>
        <v>5.3540000000000001</v>
      </c>
      <c r="C40" s="247">
        <f t="shared" ref="C40:E40" si="0">C18</f>
        <v>51.83</v>
      </c>
      <c r="D40" s="247">
        <f t="shared" si="0"/>
        <v>20</v>
      </c>
      <c r="E40" s="247">
        <f t="shared" si="0"/>
        <v>75.05</v>
      </c>
      <c r="F40" s="247">
        <f>F18</f>
        <v>80.41</v>
      </c>
      <c r="G40" s="191"/>
      <c r="H40" t="s">
        <v>230</v>
      </c>
      <c r="I40" s="247">
        <f>I18</f>
        <v>11.92</v>
      </c>
      <c r="J40" s="247">
        <f>J18</f>
        <v>57.2</v>
      </c>
      <c r="K40" s="247">
        <f>K18</f>
        <v>26.19</v>
      </c>
      <c r="L40" s="247">
        <f>L18</f>
        <v>86.64</v>
      </c>
      <c r="M40" s="247">
        <f>M18</f>
        <v>98.56</v>
      </c>
    </row>
    <row r="41" spans="1:22" ht="10.199999999999999" customHeight="1">
      <c r="A41" t="s">
        <v>231</v>
      </c>
      <c r="B41" s="247">
        <v>116.93</v>
      </c>
      <c r="C41" s="247">
        <v>183.15</v>
      </c>
      <c r="D41" s="247">
        <v>17.54</v>
      </c>
      <c r="E41" s="247">
        <f>F41-B41</f>
        <v>232.38</v>
      </c>
      <c r="F41" s="247">
        <v>349.31</v>
      </c>
      <c r="G41" s="191"/>
      <c r="H41" t="s">
        <v>231</v>
      </c>
      <c r="I41" s="247">
        <v>123.66</v>
      </c>
      <c r="J41" s="247">
        <v>183.48</v>
      </c>
      <c r="K41" s="247">
        <v>19.87</v>
      </c>
      <c r="L41" s="247">
        <f>M41-I41</f>
        <v>236.42</v>
      </c>
      <c r="M41" s="247">
        <v>360.08</v>
      </c>
    </row>
    <row r="42" spans="1:22" ht="10.199999999999999" customHeight="1">
      <c r="A42" t="s">
        <v>232</v>
      </c>
      <c r="B42" s="247">
        <v>0.61</v>
      </c>
      <c r="C42" s="247">
        <v>1.94</v>
      </c>
      <c r="D42" s="247">
        <v>122.63</v>
      </c>
      <c r="E42" s="247">
        <f>F42-B42</f>
        <v>143.60999999999999</v>
      </c>
      <c r="F42" s="247">
        <v>144.22</v>
      </c>
      <c r="G42" s="191"/>
      <c r="H42" t="s">
        <v>232</v>
      </c>
      <c r="I42" s="247">
        <v>0.54</v>
      </c>
      <c r="J42" s="247">
        <v>5.61</v>
      </c>
      <c r="K42" s="247">
        <v>121.42</v>
      </c>
      <c r="L42" s="247">
        <f>M42-I42</f>
        <v>150.68</v>
      </c>
      <c r="M42" s="247">
        <v>151.22</v>
      </c>
    </row>
    <row r="43" spans="1:22" s="191" customFormat="1" ht="10.199999999999999" customHeight="1">
      <c r="A43" s="191" t="s">
        <v>233</v>
      </c>
      <c r="B43" s="247"/>
      <c r="C43" s="247"/>
      <c r="D43" s="247"/>
      <c r="E43" s="247"/>
      <c r="H43" s="191" t="s">
        <v>233</v>
      </c>
      <c r="I43" s="247"/>
      <c r="J43" s="247"/>
      <c r="K43" s="247"/>
      <c r="L43" s="247"/>
      <c r="M43" s="247"/>
    </row>
    <row r="44" spans="1:22" ht="10.199999999999999" customHeight="1">
      <c r="A44" t="s">
        <v>234</v>
      </c>
      <c r="B44" s="247">
        <v>51.74</v>
      </c>
      <c r="C44" s="247">
        <v>87.55</v>
      </c>
      <c r="D44" s="247">
        <v>113.1</v>
      </c>
      <c r="E44" s="247">
        <f>F45-B44</f>
        <v>278.87</v>
      </c>
      <c r="F44" s="247">
        <v>287.27999999999997</v>
      </c>
      <c r="G44" s="191"/>
      <c r="H44" t="s">
        <v>234</v>
      </c>
      <c r="I44" s="247">
        <v>57.15</v>
      </c>
      <c r="J44" s="247">
        <v>89.68</v>
      </c>
      <c r="K44" s="247">
        <v>116.65</v>
      </c>
      <c r="L44" s="247">
        <f>M44-I44</f>
        <v>246.70000000000002</v>
      </c>
      <c r="M44" s="247">
        <v>303.85000000000002</v>
      </c>
      <c r="O44" s="356"/>
      <c r="P44" s="191"/>
      <c r="Q44" s="191"/>
      <c r="R44" s="191"/>
      <c r="S44" s="191"/>
      <c r="T44" s="191"/>
      <c r="U44" s="191"/>
      <c r="V44" s="191"/>
    </row>
    <row r="45" spans="1:22" ht="10.199999999999999" customHeight="1">
      <c r="A45" t="s">
        <v>235</v>
      </c>
      <c r="B45" s="247">
        <v>55.72</v>
      </c>
      <c r="C45" s="247">
        <v>96.46</v>
      </c>
      <c r="D45" s="247">
        <v>136.56</v>
      </c>
      <c r="E45" s="247">
        <f>F46-B45</f>
        <v>91.78</v>
      </c>
      <c r="F45" s="247">
        <v>330.61</v>
      </c>
      <c r="G45" s="191"/>
      <c r="H45" t="s">
        <v>235</v>
      </c>
      <c r="I45" s="247">
        <v>60.61</v>
      </c>
      <c r="J45" s="247">
        <v>98.31</v>
      </c>
      <c r="K45" s="247">
        <v>142.07</v>
      </c>
      <c r="L45" s="247">
        <f>M45-I45</f>
        <v>287.88</v>
      </c>
      <c r="M45" s="247">
        <v>348.49</v>
      </c>
      <c r="P45" s="191"/>
      <c r="Q45" s="191"/>
      <c r="R45" s="191"/>
      <c r="S45" s="191"/>
      <c r="T45" s="191"/>
      <c r="U45" s="191"/>
      <c r="V45" s="191"/>
    </row>
    <row r="46" spans="1:22" ht="10.199999999999999" customHeight="1">
      <c r="A46" t="s">
        <v>236</v>
      </c>
      <c r="B46" s="247">
        <v>58.96</v>
      </c>
      <c r="C46" s="247">
        <v>79.52</v>
      </c>
      <c r="D46" s="247">
        <v>0.39</v>
      </c>
      <c r="E46" s="247">
        <f>F47-B46</f>
        <v>36.859999999999992</v>
      </c>
      <c r="F46" s="247">
        <v>147.5</v>
      </c>
      <c r="G46" s="191"/>
      <c r="H46" t="s">
        <v>236</v>
      </c>
      <c r="I46" s="247">
        <v>51.03</v>
      </c>
      <c r="J46" s="247">
        <v>93.3</v>
      </c>
      <c r="K46" s="247">
        <v>0.26</v>
      </c>
      <c r="L46" s="247">
        <f>M46-I46</f>
        <v>103.16999999999999</v>
      </c>
      <c r="M46" s="247">
        <v>154.19999999999999</v>
      </c>
      <c r="P46" s="191"/>
      <c r="Q46" s="191"/>
      <c r="R46" s="191"/>
      <c r="S46" s="191"/>
      <c r="T46" s="191"/>
      <c r="U46" s="191"/>
      <c r="V46" s="191"/>
    </row>
    <row r="47" spans="1:22" ht="10.199999999999999" customHeight="1">
      <c r="A47" t="s">
        <v>237</v>
      </c>
      <c r="B47" s="247">
        <v>8.2100000000000009</v>
      </c>
      <c r="C47" s="247">
        <v>60.94</v>
      </c>
      <c r="D47" s="247">
        <v>23.21</v>
      </c>
      <c r="E47" s="247">
        <f>F47-B47</f>
        <v>87.609999999999985</v>
      </c>
      <c r="F47" s="247">
        <v>95.82</v>
      </c>
      <c r="G47" s="191"/>
      <c r="H47" t="s">
        <v>237</v>
      </c>
      <c r="I47" s="247">
        <v>24.49</v>
      </c>
      <c r="J47" s="247">
        <v>63.69</v>
      </c>
      <c r="K47" s="247">
        <v>25.14</v>
      </c>
      <c r="L47" s="247">
        <f>M47-I47</f>
        <v>82.68</v>
      </c>
      <c r="M47" s="247">
        <v>107.17</v>
      </c>
    </row>
    <row r="48" spans="1:22" s="191" customFormat="1" ht="10.199999999999999" customHeight="1">
      <c r="A48" s="191" t="s">
        <v>238</v>
      </c>
      <c r="B48" s="247"/>
      <c r="C48"/>
      <c r="E48" s="247"/>
      <c r="F48" s="247"/>
      <c r="H48" s="191" t="s">
        <v>238</v>
      </c>
      <c r="I48" s="247"/>
      <c r="J48" s="247"/>
      <c r="K48" s="247"/>
      <c r="L48" s="247"/>
      <c r="M48" s="247"/>
    </row>
    <row r="49" spans="1:15" s="191" customFormat="1" ht="10.199999999999999" customHeight="1">
      <c r="A49" s="191" t="s">
        <v>229</v>
      </c>
      <c r="B49" s="247"/>
      <c r="C49" s="247"/>
      <c r="D49" s="247"/>
      <c r="E49" s="247"/>
      <c r="F49" s="247"/>
      <c r="H49" s="191" t="s">
        <v>229</v>
      </c>
      <c r="I49" s="247"/>
      <c r="J49" s="247"/>
      <c r="K49" s="247"/>
      <c r="L49" s="247"/>
      <c r="M49" s="247"/>
    </row>
    <row r="50" spans="1:15" ht="10.199999999999999" customHeight="1">
      <c r="A50" t="s">
        <v>230</v>
      </c>
      <c r="B50" s="247">
        <f>+B27</f>
        <v>0.24</v>
      </c>
      <c r="C50" s="247">
        <f t="shared" ref="C50:F50" si="1">+C27</f>
        <v>7.07</v>
      </c>
      <c r="D50" s="247">
        <f t="shared" si="1"/>
        <v>2.21</v>
      </c>
      <c r="E50" s="247">
        <f t="shared" si="1"/>
        <v>13.2</v>
      </c>
      <c r="F50" s="247">
        <f t="shared" si="1"/>
        <v>13.44</v>
      </c>
      <c r="H50" t="s">
        <v>230</v>
      </c>
      <c r="I50" s="247">
        <f>I27</f>
        <v>0.5</v>
      </c>
      <c r="J50" s="247">
        <f>J27</f>
        <v>7.09</v>
      </c>
      <c r="K50" s="247">
        <f>K27</f>
        <v>1.35</v>
      </c>
      <c r="L50" s="247">
        <f>L27</f>
        <v>11.78</v>
      </c>
      <c r="M50" s="247">
        <f>M27</f>
        <v>12.28</v>
      </c>
    </row>
    <row r="51" spans="1:15" ht="10.199999999999999" customHeight="1">
      <c r="A51" t="s">
        <v>231</v>
      </c>
      <c r="B51" s="247">
        <v>40.630000000000003</v>
      </c>
      <c r="C51" s="247">
        <v>71.760000000000005</v>
      </c>
      <c r="D51" s="247">
        <v>16.079999999999998</v>
      </c>
      <c r="E51" s="247">
        <f>F51-B51</f>
        <v>184.92000000000002</v>
      </c>
      <c r="F51" s="247">
        <v>225.55</v>
      </c>
      <c r="H51" t="s">
        <v>231</v>
      </c>
      <c r="I51" s="247">
        <v>44.59</v>
      </c>
      <c r="J51" s="247">
        <v>73.099999999999994</v>
      </c>
      <c r="K51" s="247">
        <v>18.16</v>
      </c>
      <c r="L51" s="247">
        <f>M51-I51</f>
        <v>193.60999999999999</v>
      </c>
      <c r="M51" s="247">
        <v>238.2</v>
      </c>
    </row>
    <row r="52" spans="1:15" ht="10.199999999999999" customHeight="1">
      <c r="A52" t="s">
        <v>232</v>
      </c>
      <c r="B52" s="247">
        <v>0.32</v>
      </c>
      <c r="C52" s="247">
        <v>0.05</v>
      </c>
      <c r="D52" s="247">
        <v>36.49</v>
      </c>
      <c r="E52" s="247">
        <f>F52-B52</f>
        <v>60.08</v>
      </c>
      <c r="F52" s="247">
        <v>60.4</v>
      </c>
      <c r="H52" t="s">
        <v>232</v>
      </c>
      <c r="I52" s="247">
        <v>0.41</v>
      </c>
      <c r="J52" s="247">
        <v>0.04</v>
      </c>
      <c r="K52" s="247">
        <v>37.6</v>
      </c>
      <c r="L52" s="247">
        <f>M52-I52</f>
        <v>62.27</v>
      </c>
      <c r="M52" s="247">
        <v>62.68</v>
      </c>
    </row>
    <row r="53" spans="1:15" s="191" customFormat="1" ht="10.199999999999999" customHeight="1">
      <c r="A53" s="191" t="s">
        <v>233</v>
      </c>
      <c r="B53" s="247"/>
      <c r="C53" s="247"/>
      <c r="D53" s="247"/>
      <c r="E53" s="247"/>
      <c r="F53" s="247"/>
      <c r="H53" s="191" t="s">
        <v>233</v>
      </c>
      <c r="I53" s="247"/>
      <c r="J53" s="247"/>
      <c r="K53" s="247"/>
      <c r="L53" s="247"/>
      <c r="M53" s="247"/>
    </row>
    <row r="54" spans="1:15" ht="10.199999999999999" customHeight="1">
      <c r="A54" t="s">
        <v>239</v>
      </c>
      <c r="B54" s="247">
        <v>30.32</v>
      </c>
      <c r="C54" s="247">
        <v>24.55</v>
      </c>
      <c r="D54" s="247">
        <v>52.38</v>
      </c>
      <c r="E54" s="247">
        <f>F54-B54</f>
        <v>191.34</v>
      </c>
      <c r="F54" s="247">
        <v>221.66</v>
      </c>
      <c r="H54" t="s">
        <v>239</v>
      </c>
      <c r="I54" s="247">
        <v>32.61</v>
      </c>
      <c r="J54" s="247">
        <v>26.67</v>
      </c>
      <c r="K54" s="247">
        <v>55.15</v>
      </c>
      <c r="L54" s="247">
        <f>M54-I54</f>
        <v>201.94</v>
      </c>
      <c r="M54" s="247">
        <v>234.55</v>
      </c>
    </row>
    <row r="55" spans="1:15" ht="10.199999999999999" customHeight="1">
      <c r="A55" t="s">
        <v>236</v>
      </c>
      <c r="B55" s="247">
        <v>10.51</v>
      </c>
      <c r="C55" s="247">
        <v>47.09</v>
      </c>
      <c r="D55" s="247">
        <v>0.53</v>
      </c>
      <c r="E55" s="247">
        <f>F55-B55</f>
        <v>54.04</v>
      </c>
      <c r="F55" s="247">
        <v>64.55</v>
      </c>
      <c r="H55" t="s">
        <v>236</v>
      </c>
      <c r="I55" s="247">
        <v>12.47</v>
      </c>
      <c r="J55" s="247">
        <v>46.85</v>
      </c>
      <c r="K55" s="247">
        <v>0.54</v>
      </c>
      <c r="L55" s="247">
        <f>M55-I55</f>
        <v>54.320000000000007</v>
      </c>
      <c r="M55" s="247">
        <v>66.790000000000006</v>
      </c>
    </row>
    <row r="56" spans="1:15" ht="10.199999999999999" customHeight="1">
      <c r="A56" t="s">
        <v>237</v>
      </c>
      <c r="B56" s="247">
        <v>0.36</v>
      </c>
      <c r="C56" s="247">
        <v>7.24</v>
      </c>
      <c r="D56" s="247">
        <v>1.86</v>
      </c>
      <c r="E56" s="247">
        <f>F56-B56</f>
        <v>12.82</v>
      </c>
      <c r="F56" s="247">
        <v>13.18</v>
      </c>
      <c r="H56" t="s">
        <v>237</v>
      </c>
      <c r="I56" s="247">
        <v>0.41</v>
      </c>
      <c r="J56" s="247">
        <v>6.72</v>
      </c>
      <c r="K56" s="247">
        <v>1.41</v>
      </c>
      <c r="L56" s="247">
        <f>M56-I56</f>
        <v>11.41</v>
      </c>
      <c r="M56" s="247">
        <v>11.82</v>
      </c>
    </row>
    <row r="57" spans="1:15" s="191" customFormat="1" ht="10.199999999999999" customHeight="1">
      <c r="A57" s="191" t="s">
        <v>240</v>
      </c>
      <c r="B57" s="247"/>
      <c r="C57" s="247"/>
      <c r="D57" s="247"/>
      <c r="E57" s="247"/>
      <c r="F57" s="247"/>
      <c r="H57" s="191" t="s">
        <v>240</v>
      </c>
      <c r="I57" s="247"/>
      <c r="J57" s="247"/>
      <c r="K57" s="247"/>
      <c r="L57" s="247"/>
      <c r="M57" s="247"/>
    </row>
    <row r="58" spans="1:15" s="191" customFormat="1" ht="10.199999999999999" customHeight="1">
      <c r="A58" s="191" t="s">
        <v>229</v>
      </c>
      <c r="B58" s="247"/>
      <c r="C58" s="247"/>
      <c r="D58" s="247"/>
      <c r="E58" s="247"/>
      <c r="F58" s="247"/>
      <c r="H58" s="191" t="s">
        <v>229</v>
      </c>
      <c r="I58" s="247"/>
      <c r="J58" s="247"/>
      <c r="K58" s="247"/>
      <c r="L58" s="247"/>
      <c r="M58" s="247"/>
    </row>
    <row r="59" spans="1:15" ht="10.199999999999999" customHeight="1">
      <c r="A59" t="s">
        <v>230</v>
      </c>
      <c r="B59" s="247">
        <f>B36</f>
        <v>0.77</v>
      </c>
      <c r="C59" s="247">
        <f t="shared" ref="C59:F59" si="2">C36</f>
        <v>0.71</v>
      </c>
      <c r="D59" s="247">
        <f t="shared" si="2"/>
        <v>1.29</v>
      </c>
      <c r="E59" s="247">
        <f t="shared" si="2"/>
        <v>2.99</v>
      </c>
      <c r="F59" s="247">
        <f t="shared" si="2"/>
        <v>3.75</v>
      </c>
      <c r="G59" s="191"/>
      <c r="H59" t="s">
        <v>230</v>
      </c>
      <c r="I59" s="247">
        <f>I36</f>
        <v>0.9</v>
      </c>
      <c r="J59" s="247">
        <f>J36</f>
        <v>0.88</v>
      </c>
      <c r="K59" s="247">
        <f>K36</f>
        <v>0.87</v>
      </c>
      <c r="L59" s="247">
        <f>L36</f>
        <v>2.72</v>
      </c>
      <c r="M59" s="247">
        <f>M36</f>
        <v>3.62</v>
      </c>
      <c r="N59" s="191"/>
      <c r="O59" s="191"/>
    </row>
    <row r="60" spans="1:15" ht="10.199999999999999" customHeight="1">
      <c r="A60" t="s">
        <v>231</v>
      </c>
      <c r="B60" s="247">
        <v>10.039999999999999</v>
      </c>
      <c r="C60" s="247">
        <v>18.89</v>
      </c>
      <c r="D60" s="247">
        <v>17.89</v>
      </c>
      <c r="E60" s="247">
        <f t="shared" ref="E60:E61" si="3">F60-B60</f>
        <v>43.68</v>
      </c>
      <c r="F60" s="247">
        <v>53.72</v>
      </c>
      <c r="G60" s="191"/>
      <c r="H60" t="s">
        <v>231</v>
      </c>
      <c r="I60" s="247">
        <v>11.15</v>
      </c>
      <c r="J60" s="247">
        <v>19.760000000000002</v>
      </c>
      <c r="K60" s="247">
        <v>18.14</v>
      </c>
      <c r="L60" s="247">
        <f>M60-I60</f>
        <v>45.82</v>
      </c>
      <c r="M60" s="247">
        <v>56.97</v>
      </c>
      <c r="N60" s="191"/>
      <c r="O60" s="191"/>
    </row>
    <row r="61" spans="1:15" ht="10.199999999999999" customHeight="1">
      <c r="A61" t="s">
        <v>232</v>
      </c>
      <c r="B61" s="247">
        <v>0.15</v>
      </c>
      <c r="C61" s="247">
        <v>0.35</v>
      </c>
      <c r="D61" s="247">
        <v>5.8</v>
      </c>
      <c r="E61" s="247">
        <f t="shared" si="3"/>
        <v>10.82</v>
      </c>
      <c r="F61" s="247">
        <v>10.97</v>
      </c>
      <c r="G61" s="191"/>
      <c r="H61" t="s">
        <v>232</v>
      </c>
      <c r="I61" s="247">
        <v>0.14000000000000001</v>
      </c>
      <c r="J61" s="247">
        <v>0.3</v>
      </c>
      <c r="K61" s="247">
        <v>5.8</v>
      </c>
      <c r="L61" s="247">
        <f>M61-I61</f>
        <v>10.54</v>
      </c>
      <c r="M61" s="247">
        <v>10.68</v>
      </c>
      <c r="N61" s="191"/>
      <c r="O61" s="191"/>
    </row>
    <row r="62" spans="1:15" s="191" customFormat="1" ht="10.199999999999999" customHeight="1">
      <c r="A62" s="191" t="s">
        <v>233</v>
      </c>
      <c r="B62" s="247"/>
      <c r="C62" s="247"/>
      <c r="D62" s="247"/>
      <c r="E62" s="247"/>
      <c r="F62" s="247"/>
      <c r="H62" s="191" t="s">
        <v>233</v>
      </c>
      <c r="I62" s="247"/>
      <c r="J62" s="247"/>
      <c r="K62" s="247"/>
      <c r="L62" s="247"/>
      <c r="M62" s="247"/>
    </row>
    <row r="63" spans="1:15" ht="10.199999999999999" customHeight="1">
      <c r="A63" t="s">
        <v>239</v>
      </c>
      <c r="B63" s="247">
        <v>9.01</v>
      </c>
      <c r="C63" s="247">
        <v>11.76</v>
      </c>
      <c r="D63" s="247">
        <v>23.56</v>
      </c>
      <c r="E63" s="247">
        <f>F63-B63</f>
        <v>44.45</v>
      </c>
      <c r="F63" s="247">
        <v>53.46</v>
      </c>
      <c r="G63" s="191"/>
      <c r="H63" t="s">
        <v>239</v>
      </c>
      <c r="I63" s="247">
        <v>10.25</v>
      </c>
      <c r="J63" s="247">
        <v>12.44</v>
      </c>
      <c r="K63" s="247">
        <v>23.73</v>
      </c>
      <c r="L63" s="247">
        <f>M63-I63</f>
        <v>45.98</v>
      </c>
      <c r="M63" s="247">
        <v>56.23</v>
      </c>
      <c r="N63" s="191"/>
      <c r="O63" s="191"/>
    </row>
    <row r="64" spans="1:15" ht="10.199999999999999" customHeight="1">
      <c r="A64" t="s">
        <v>236</v>
      </c>
      <c r="B64" s="247">
        <v>1.1599999999999999</v>
      </c>
      <c r="C64" s="247">
        <v>7.45</v>
      </c>
      <c r="D64" s="247">
        <v>0.21</v>
      </c>
      <c r="E64" s="247">
        <f>F64-B64</f>
        <v>10.08</v>
      </c>
      <c r="F64" s="247">
        <v>11.24</v>
      </c>
      <c r="G64" s="191"/>
      <c r="H64" t="s">
        <v>236</v>
      </c>
      <c r="I64" s="247">
        <v>1.02</v>
      </c>
      <c r="J64" s="247">
        <v>7.5</v>
      </c>
      <c r="K64" s="247">
        <v>0.21</v>
      </c>
      <c r="L64" s="247">
        <f>M64-I64</f>
        <v>10.31</v>
      </c>
      <c r="M64" s="247">
        <v>11.33</v>
      </c>
      <c r="N64" s="191"/>
      <c r="O64" s="191"/>
    </row>
    <row r="65" spans="1:15" ht="10.199999999999999" customHeight="1">
      <c r="A65" s="1" t="s">
        <v>237</v>
      </c>
      <c r="B65" s="246">
        <v>0.78</v>
      </c>
      <c r="C65" s="246">
        <v>0.74</v>
      </c>
      <c r="D65" s="246">
        <v>1.22</v>
      </c>
      <c r="E65" s="246">
        <f>F65-B65</f>
        <v>2.96</v>
      </c>
      <c r="F65" s="246">
        <v>3.74</v>
      </c>
      <c r="G65" s="329"/>
      <c r="H65" s="1" t="s">
        <v>237</v>
      </c>
      <c r="I65" s="247">
        <v>0.91</v>
      </c>
      <c r="J65" s="247">
        <v>1.01</v>
      </c>
      <c r="K65" s="247">
        <v>0.86</v>
      </c>
      <c r="L65" s="247">
        <f>M65-I65</f>
        <v>2.8</v>
      </c>
      <c r="M65" s="247">
        <v>3.71</v>
      </c>
      <c r="N65" s="191"/>
      <c r="O65" s="191"/>
    </row>
    <row r="66" spans="1:15" ht="12" customHeight="1">
      <c r="A66" s="135" t="s">
        <v>340</v>
      </c>
      <c r="B66" s="191"/>
      <c r="C66" s="191"/>
      <c r="D66" s="191"/>
      <c r="E66" s="191"/>
      <c r="F66" s="191"/>
      <c r="G66" s="191"/>
      <c r="H66" s="135"/>
      <c r="I66" s="191"/>
      <c r="J66" s="191"/>
      <c r="K66" s="191"/>
      <c r="L66" s="191"/>
      <c r="M66" s="191"/>
      <c r="N66" s="191"/>
      <c r="O66" s="191"/>
    </row>
    <row r="67" spans="1:15">
      <c r="A67" s="107" t="s">
        <v>741</v>
      </c>
    </row>
    <row r="68" spans="1:15">
      <c r="A68" s="107" t="s">
        <v>567</v>
      </c>
    </row>
    <row r="69" spans="1:15">
      <c r="A69" s="107" t="s">
        <v>568</v>
      </c>
    </row>
    <row r="70" spans="1:15" ht="12" customHeight="1">
      <c r="A70" s="107" t="s">
        <v>539</v>
      </c>
      <c r="L70" s="287"/>
      <c r="M70" s="287"/>
    </row>
    <row r="71" spans="1:15">
      <c r="M71" s="278" t="s">
        <v>679</v>
      </c>
    </row>
  </sheetData>
  <pageMargins left="0.7" right="0.7" top="0.75" bottom="0.75" header="0.3" footer="0.3"/>
  <pageSetup scale="10" firstPageNumber="78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34"/>
  <sheetViews>
    <sheetView workbookViewId="0">
      <selection activeCell="A105" sqref="A105"/>
    </sheetView>
  </sheetViews>
  <sheetFormatPr defaultRowHeight="14.4"/>
  <cols>
    <col min="1" max="1" width="26.7109375" style="359" customWidth="1"/>
    <col min="2" max="9" width="9.28515625" style="359" customWidth="1"/>
  </cols>
  <sheetData>
    <row r="1" spans="1:9" ht="15" customHeight="1">
      <c r="A1" s="406" t="s">
        <v>706</v>
      </c>
      <c r="B1" s="406"/>
      <c r="C1" s="406"/>
      <c r="D1" s="406"/>
      <c r="E1" s="406"/>
      <c r="F1" s="406"/>
      <c r="G1" s="406"/>
      <c r="H1" s="406"/>
      <c r="I1" s="406"/>
    </row>
    <row r="2" spans="1:9">
      <c r="A2" s="361"/>
    </row>
    <row r="3" spans="1:9" ht="10.199999999999999">
      <c r="A3" s="1" t="s">
        <v>685</v>
      </c>
      <c r="B3" s="185" t="s">
        <v>425</v>
      </c>
      <c r="C3" s="185" t="s">
        <v>438</v>
      </c>
      <c r="D3" s="185" t="s">
        <v>464</v>
      </c>
      <c r="E3" s="185" t="s">
        <v>492</v>
      </c>
      <c r="F3" s="185" t="s">
        <v>495</v>
      </c>
      <c r="G3" s="185" t="s">
        <v>498</v>
      </c>
      <c r="H3" s="185" t="s">
        <v>569</v>
      </c>
      <c r="I3" s="185" t="s">
        <v>623</v>
      </c>
    </row>
    <row r="4" spans="1:9" ht="10.199999999999999">
      <c r="A4" t="s">
        <v>712</v>
      </c>
      <c r="B4" s="362">
        <v>23177.954000000002</v>
      </c>
      <c r="C4" s="362">
        <v>20990.6384</v>
      </c>
      <c r="D4" s="362">
        <v>27300.837899999999</v>
      </c>
      <c r="E4" s="362">
        <v>29515.912700000001</v>
      </c>
      <c r="F4" s="362">
        <v>30561.895199999999</v>
      </c>
      <c r="G4" s="362">
        <v>36119.2768</v>
      </c>
      <c r="H4" s="362">
        <v>28193.531800000001</v>
      </c>
      <c r="I4" s="362"/>
    </row>
    <row r="5" spans="1:9" ht="10.199999999999999">
      <c r="A5" t="s">
        <v>686</v>
      </c>
      <c r="B5" s="362">
        <v>3314.634</v>
      </c>
      <c r="C5" s="362">
        <v>2663.2154</v>
      </c>
      <c r="D5" s="362">
        <v>3394.2926000000002</v>
      </c>
      <c r="E5" s="362">
        <v>3577.8807999999999</v>
      </c>
      <c r="F5" s="362">
        <v>3577.2347999999997</v>
      </c>
      <c r="G5" s="362">
        <v>3887.3618999999999</v>
      </c>
      <c r="H5" s="362">
        <v>4383.4332000000004</v>
      </c>
      <c r="I5" s="362"/>
    </row>
    <row r="6" spans="1:9" ht="10.199999999999999">
      <c r="A6" t="s">
        <v>713</v>
      </c>
      <c r="B6" s="362">
        <v>46.387</v>
      </c>
      <c r="C6" s="362">
        <v>63.201999999999998</v>
      </c>
      <c r="D6" s="362">
        <v>303.33199999999999</v>
      </c>
      <c r="E6" s="362">
        <v>1821.5250000000001</v>
      </c>
      <c r="F6" s="362">
        <v>1412.0519999999999</v>
      </c>
      <c r="G6" s="362">
        <v>1970.414</v>
      </c>
      <c r="H6" s="362">
        <v>2856.8777</v>
      </c>
      <c r="I6" s="362"/>
    </row>
    <row r="7" spans="1:9" ht="10.199999999999999">
      <c r="A7" t="s">
        <v>689</v>
      </c>
      <c r="B7" s="362">
        <v>1773.4911999999999</v>
      </c>
      <c r="C7" s="362">
        <v>1553.4168999999999</v>
      </c>
      <c r="D7" s="362">
        <v>2011.9992</v>
      </c>
      <c r="E7" s="362">
        <v>1929.6845000000001</v>
      </c>
      <c r="F7" s="362">
        <v>2286.0724</v>
      </c>
      <c r="G7" s="362">
        <v>2497.9427000000001</v>
      </c>
      <c r="H7" s="362">
        <v>2560.8226</v>
      </c>
      <c r="I7" s="362"/>
    </row>
    <row r="8" spans="1:9" ht="10.199999999999999">
      <c r="A8" t="s">
        <v>690</v>
      </c>
      <c r="B8" s="362">
        <v>1172.71</v>
      </c>
      <c r="C8" s="362">
        <v>643.12</v>
      </c>
      <c r="D8" s="362">
        <v>505.089</v>
      </c>
      <c r="E8" s="362">
        <v>596.14599999999996</v>
      </c>
      <c r="F8" s="362">
        <v>261.34899999999999</v>
      </c>
      <c r="G8" s="362">
        <v>939.21799999999996</v>
      </c>
      <c r="H8" s="362">
        <v>2331.3319999999999</v>
      </c>
      <c r="I8" s="362"/>
    </row>
    <row r="9" spans="1:9" ht="10.199999999999999">
      <c r="A9" t="s">
        <v>688</v>
      </c>
      <c r="B9" s="362">
        <v>1804.0876000000001</v>
      </c>
      <c r="C9" s="362">
        <v>1726.1063999999999</v>
      </c>
      <c r="D9" s="362">
        <v>2018.0536000000002</v>
      </c>
      <c r="E9" s="362">
        <v>2171.4870000000001</v>
      </c>
      <c r="F9" s="362">
        <v>2282.0677000000001</v>
      </c>
      <c r="G9" s="362">
        <v>2475.9142999999999</v>
      </c>
      <c r="H9" s="362">
        <v>2189.5879</v>
      </c>
      <c r="I9" s="362"/>
    </row>
    <row r="10" spans="1:9" ht="10.199999999999999">
      <c r="A10" t="s">
        <v>714</v>
      </c>
      <c r="B10" s="362">
        <v>1060.3336000000002</v>
      </c>
      <c r="C10" s="362">
        <v>1208.8224</v>
      </c>
      <c r="D10" s="362">
        <v>1221.6298999999999</v>
      </c>
      <c r="E10" s="362">
        <v>1434.1076</v>
      </c>
      <c r="F10" s="362">
        <v>1462.3616999999999</v>
      </c>
      <c r="G10" s="362">
        <v>1476.6197</v>
      </c>
      <c r="H10" s="362">
        <v>2015.7076000000002</v>
      </c>
      <c r="I10" s="362"/>
    </row>
    <row r="11" spans="1:9" ht="10.199999999999999">
      <c r="A11" t="s">
        <v>715</v>
      </c>
      <c r="B11" s="362">
        <v>0</v>
      </c>
      <c r="C11" s="362">
        <v>0</v>
      </c>
      <c r="D11" s="362">
        <v>0</v>
      </c>
      <c r="E11" s="362">
        <v>314.363</v>
      </c>
      <c r="F11" s="362">
        <v>166.86600000000001</v>
      </c>
      <c r="G11" s="362">
        <v>623.95600000000002</v>
      </c>
      <c r="H11" s="362">
        <v>1660.799</v>
      </c>
      <c r="I11" s="362"/>
    </row>
    <row r="12" spans="1:9" ht="10.199999999999999">
      <c r="A12" t="s">
        <v>691</v>
      </c>
      <c r="B12" s="362">
        <v>375.00700000000001</v>
      </c>
      <c r="C12" s="362">
        <v>564.73249999999996</v>
      </c>
      <c r="D12" s="362">
        <v>491.46370000000002</v>
      </c>
      <c r="E12" s="362">
        <v>516.6</v>
      </c>
      <c r="F12" s="362">
        <v>549.55280000000005</v>
      </c>
      <c r="G12" s="362">
        <v>1039.9488000000001</v>
      </c>
      <c r="H12" s="362">
        <v>1504.8863000000001</v>
      </c>
      <c r="I12" s="362"/>
    </row>
    <row r="13" spans="1:9" ht="10.199999999999999">
      <c r="A13" t="s">
        <v>700</v>
      </c>
      <c r="B13" s="362">
        <v>327.7593</v>
      </c>
      <c r="C13" s="362">
        <v>653.03660000000002</v>
      </c>
      <c r="D13" s="362">
        <v>530.59040000000005</v>
      </c>
      <c r="E13" s="362">
        <v>772.17919999999992</v>
      </c>
      <c r="F13" s="362">
        <v>834.07460000000003</v>
      </c>
      <c r="G13" s="362">
        <v>547.77089999999998</v>
      </c>
      <c r="H13" s="362">
        <v>1204.5642</v>
      </c>
      <c r="I13" s="362"/>
    </row>
    <row r="14" spans="1:9" ht="10.199999999999999">
      <c r="A14" t="s">
        <v>695</v>
      </c>
      <c r="B14" s="362">
        <v>0.5</v>
      </c>
      <c r="C14" s="362">
        <v>55.496000000000002</v>
      </c>
      <c r="D14" s="362">
        <v>160.55199999999999</v>
      </c>
      <c r="E14" s="362">
        <v>602.96400000000006</v>
      </c>
      <c r="F14" s="362">
        <v>720.721</v>
      </c>
      <c r="G14" s="362">
        <v>993.86900000000003</v>
      </c>
      <c r="H14" s="362">
        <v>1052.9100000000001</v>
      </c>
      <c r="I14" s="362"/>
    </row>
    <row r="15" spans="1:9" ht="10.199999999999999">
      <c r="A15" t="s">
        <v>716</v>
      </c>
      <c r="B15" s="362">
        <v>989.99400000000003</v>
      </c>
      <c r="C15" s="362">
        <v>1484.7507000000001</v>
      </c>
      <c r="D15" s="362">
        <v>1396.0930000000001</v>
      </c>
      <c r="E15" s="362">
        <v>1085.1316000000002</v>
      </c>
      <c r="F15" s="362">
        <v>2331.5990000000002</v>
      </c>
      <c r="G15" s="362">
        <v>1287.3703</v>
      </c>
      <c r="H15" s="362">
        <v>1034.203</v>
      </c>
      <c r="I15" s="362"/>
    </row>
    <row r="16" spans="1:9" ht="10.199999999999999">
      <c r="A16" t="s">
        <v>717</v>
      </c>
      <c r="B16" s="362">
        <v>28.123999999999999</v>
      </c>
      <c r="C16" s="362">
        <v>797.40599999999995</v>
      </c>
      <c r="D16" s="362">
        <v>1027.7550000000001</v>
      </c>
      <c r="E16" s="362">
        <v>918.67</v>
      </c>
      <c r="F16" s="362">
        <v>1271.221</v>
      </c>
      <c r="G16" s="362">
        <v>660.86199999999997</v>
      </c>
      <c r="H16" s="362">
        <v>999.53009999999995</v>
      </c>
      <c r="I16" s="362"/>
    </row>
    <row r="17" spans="1:9" ht="10.199999999999999">
      <c r="A17" t="s">
        <v>718</v>
      </c>
      <c r="B17" s="362">
        <v>442.91199999999998</v>
      </c>
      <c r="C17" s="362">
        <v>553.85109999999997</v>
      </c>
      <c r="D17" s="362">
        <v>598.43499999999995</v>
      </c>
      <c r="E17" s="362">
        <v>594.47450000000003</v>
      </c>
      <c r="F17" s="362">
        <v>455.16030000000001</v>
      </c>
      <c r="G17" s="362">
        <v>679.0557</v>
      </c>
      <c r="H17" s="362">
        <v>747.03449999999998</v>
      </c>
      <c r="I17" s="362"/>
    </row>
    <row r="18" spans="1:9" ht="10.199999999999999">
      <c r="A18" t="s">
        <v>696</v>
      </c>
      <c r="B18" s="362">
        <v>80.793000000000006</v>
      </c>
      <c r="C18" s="362">
        <v>176.93700000000001</v>
      </c>
      <c r="D18" s="362">
        <v>138.81800000000001</v>
      </c>
      <c r="E18" s="362">
        <v>530.15139999999997</v>
      </c>
      <c r="F18" s="362">
        <v>521.89700000000005</v>
      </c>
      <c r="G18" s="362">
        <v>555.80630000000008</v>
      </c>
      <c r="H18" s="362">
        <v>656.56050000000005</v>
      </c>
      <c r="I18" s="362"/>
    </row>
    <row r="19" spans="1:9" ht="10.199999999999999">
      <c r="A19" t="s">
        <v>719</v>
      </c>
      <c r="B19" s="362">
        <v>0</v>
      </c>
      <c r="C19" s="362">
        <v>0</v>
      </c>
      <c r="D19" s="362">
        <v>68.25</v>
      </c>
      <c r="E19" s="362">
        <v>0</v>
      </c>
      <c r="F19" s="362">
        <v>123.59699999999999</v>
      </c>
      <c r="G19" s="362">
        <v>149.19900000000001</v>
      </c>
      <c r="H19" s="362">
        <v>485.33100000000002</v>
      </c>
      <c r="I19" s="362"/>
    </row>
    <row r="20" spans="1:9" ht="10.199999999999999">
      <c r="A20" t="s">
        <v>693</v>
      </c>
      <c r="B20" s="362">
        <v>191.869</v>
      </c>
      <c r="C20" s="362">
        <v>318.78300000000002</v>
      </c>
      <c r="D20" s="362">
        <v>250.62379999999999</v>
      </c>
      <c r="E20" s="362">
        <v>327.30670000000003</v>
      </c>
      <c r="F20" s="362">
        <v>377.35250000000002</v>
      </c>
      <c r="G20" s="362">
        <v>451.37099999999998</v>
      </c>
      <c r="H20" s="362">
        <v>480.71749999999997</v>
      </c>
      <c r="I20" s="362"/>
    </row>
    <row r="21" spans="1:9" ht="10.199999999999999">
      <c r="A21" t="s">
        <v>720</v>
      </c>
      <c r="B21" s="362">
        <v>602.94799999999998</v>
      </c>
      <c r="C21" s="362">
        <v>392.64100000000002</v>
      </c>
      <c r="D21" s="362">
        <v>380.90100000000001</v>
      </c>
      <c r="E21" s="362">
        <v>830.30180000000007</v>
      </c>
      <c r="F21" s="362">
        <v>394.16699999999997</v>
      </c>
      <c r="G21" s="362">
        <v>209.56800000000001</v>
      </c>
      <c r="H21" s="362">
        <v>422.87799999999999</v>
      </c>
      <c r="I21" s="362"/>
    </row>
    <row r="22" spans="1:9" ht="10.199999999999999">
      <c r="A22" t="s">
        <v>721</v>
      </c>
      <c r="B22" s="362">
        <v>195.26499999999999</v>
      </c>
      <c r="C22" s="362">
        <v>208.82589999999999</v>
      </c>
      <c r="D22" s="362">
        <v>287.44650000000001</v>
      </c>
      <c r="E22" s="362">
        <v>233.95089999999999</v>
      </c>
      <c r="F22" s="362">
        <v>254.06889999999999</v>
      </c>
      <c r="G22" s="362">
        <v>344.11709999999999</v>
      </c>
      <c r="H22" s="362">
        <v>381.47919999999999</v>
      </c>
      <c r="I22" s="362"/>
    </row>
    <row r="23" spans="1:9" ht="10.199999999999999">
      <c r="A23" t="s">
        <v>722</v>
      </c>
      <c r="B23" s="362">
        <v>244.40299999999999</v>
      </c>
      <c r="C23" s="362">
        <v>183.57599999999999</v>
      </c>
      <c r="D23" s="362">
        <v>206.35499999999999</v>
      </c>
      <c r="E23" s="362">
        <v>187.762</v>
      </c>
      <c r="F23" s="362">
        <v>353.81799999999998</v>
      </c>
      <c r="G23" s="362">
        <v>215.589</v>
      </c>
      <c r="H23" s="362">
        <v>370.55599999999998</v>
      </c>
      <c r="I23" s="362"/>
    </row>
    <row r="24" spans="1:9" ht="10.199999999999999">
      <c r="A24" t="s">
        <v>723</v>
      </c>
      <c r="B24" s="362">
        <v>1.2949999999999999</v>
      </c>
      <c r="C24" s="362">
        <v>59.896000000000001</v>
      </c>
      <c r="D24" s="362">
        <v>78.504999999999995</v>
      </c>
      <c r="E24" s="362">
        <v>4.07E-2</v>
      </c>
      <c r="F24" s="362">
        <v>136.93899999999999</v>
      </c>
      <c r="G24" s="362">
        <v>190.08500000000001</v>
      </c>
      <c r="H24" s="362">
        <v>327.738</v>
      </c>
      <c r="I24" s="362"/>
    </row>
    <row r="25" spans="1:9" ht="10.199999999999999">
      <c r="A25" t="s">
        <v>724</v>
      </c>
      <c r="B25" s="362">
        <v>263.904</v>
      </c>
      <c r="C25" s="362">
        <v>156.05099999999999</v>
      </c>
      <c r="D25" s="362">
        <v>102.361</v>
      </c>
      <c r="E25" s="362">
        <v>270.77699999999999</v>
      </c>
      <c r="F25" s="362">
        <v>308.08449999999999</v>
      </c>
      <c r="G25" s="362">
        <v>258.733</v>
      </c>
      <c r="H25" s="362">
        <v>313.29930000000002</v>
      </c>
      <c r="I25" s="362"/>
    </row>
    <row r="26" spans="1:9" ht="10.199999999999999">
      <c r="A26" t="s">
        <v>694</v>
      </c>
      <c r="B26" s="362">
        <v>2.286</v>
      </c>
      <c r="C26" s="362">
        <v>28.943999999999999</v>
      </c>
      <c r="D26" s="362">
        <v>30.914000000000001</v>
      </c>
      <c r="E26" s="362">
        <v>109.09399999999999</v>
      </c>
      <c r="F26" s="362">
        <v>190.565</v>
      </c>
      <c r="G26" s="362">
        <v>111.5848</v>
      </c>
      <c r="H26" s="362">
        <v>230.31899999999999</v>
      </c>
      <c r="I26" s="362"/>
    </row>
    <row r="27" spans="1:9" ht="10.199999999999999">
      <c r="A27" t="s">
        <v>725</v>
      </c>
      <c r="B27" s="362">
        <v>83.855000000000004</v>
      </c>
      <c r="C27" s="362">
        <v>129.29400000000001</v>
      </c>
      <c r="D27" s="362">
        <v>171.27</v>
      </c>
      <c r="E27" s="362">
        <v>404.50299999999999</v>
      </c>
      <c r="F27" s="362">
        <v>66.626999999999995</v>
      </c>
      <c r="G27" s="362">
        <v>57.811999999999998</v>
      </c>
      <c r="H27" s="362">
        <v>218.155</v>
      </c>
      <c r="I27" s="362"/>
    </row>
    <row r="28" spans="1:9" ht="10.199999999999999">
      <c r="A28" t="s">
        <v>687</v>
      </c>
      <c r="B28" s="362">
        <v>55.76</v>
      </c>
      <c r="C28" s="362">
        <v>42.059199999999997</v>
      </c>
      <c r="D28" s="362">
        <v>79.240200000000002</v>
      </c>
      <c r="E28" s="362">
        <v>114.73830000000001</v>
      </c>
      <c r="F28" s="362">
        <v>167.4143</v>
      </c>
      <c r="G28" s="362">
        <v>259.18209999999999</v>
      </c>
      <c r="H28" s="362">
        <v>204.17170000000002</v>
      </c>
      <c r="I28" s="362"/>
    </row>
    <row r="29" spans="1:9" ht="10.199999999999999">
      <c r="A29" t="s">
        <v>703</v>
      </c>
      <c r="B29" s="362">
        <f>B30-SUM(B4:B28)</f>
        <v>949.27850000000763</v>
      </c>
      <c r="C29" s="362">
        <f t="shared" ref="C29:H29" si="0">C30-SUM(C4:C28)</f>
        <v>1474.5515999999843</v>
      </c>
      <c r="D29" s="362">
        <f t="shared" si="0"/>
        <v>1839.4748000000109</v>
      </c>
      <c r="E29" s="362">
        <f t="shared" si="0"/>
        <v>1276.0460000000021</v>
      </c>
      <c r="F29" s="362">
        <f t="shared" si="0"/>
        <v>1802.3293000000049</v>
      </c>
      <c r="G29" s="362">
        <f t="shared" si="0"/>
        <v>960.18410000002041</v>
      </c>
      <c r="H29" s="362">
        <f t="shared" si="0"/>
        <v>1244.2177000000011</v>
      </c>
      <c r="I29" s="362"/>
    </row>
    <row r="30" spans="1:9" ht="10.199999999999999">
      <c r="A30" t="s">
        <v>3</v>
      </c>
      <c r="B30" s="362">
        <v>37185.550200000005</v>
      </c>
      <c r="C30" s="362">
        <v>36129.3531</v>
      </c>
      <c r="D30" s="362">
        <v>44594.282599999999</v>
      </c>
      <c r="E30" s="362">
        <v>50135.797700000003</v>
      </c>
      <c r="F30" s="362">
        <v>52869.087</v>
      </c>
      <c r="G30" s="362">
        <v>58962.811500000003</v>
      </c>
      <c r="H30" s="362">
        <v>58070.642799999994</v>
      </c>
      <c r="I30" s="362"/>
    </row>
    <row r="31" spans="1:9">
      <c r="A31" s="361"/>
      <c r="B31" s="361"/>
      <c r="C31" s="361"/>
      <c r="D31" s="361"/>
      <c r="E31" s="361"/>
      <c r="F31" s="361"/>
      <c r="G31" s="361"/>
      <c r="H31" s="361"/>
      <c r="I31" s="361"/>
    </row>
    <row r="32" spans="1:9" ht="24.75" customHeight="1">
      <c r="A32" s="135" t="s">
        <v>705</v>
      </c>
      <c r="B32" s="135"/>
      <c r="C32" s="135"/>
      <c r="D32" s="135"/>
      <c r="E32" s="135"/>
      <c r="F32" s="135"/>
      <c r="G32" s="135"/>
      <c r="H32" s="135"/>
      <c r="I32" s="135"/>
    </row>
    <row r="34" spans="1:9" ht="10.199999999999999">
      <c r="A34" s="407" t="s">
        <v>704</v>
      </c>
      <c r="B34" s="407"/>
      <c r="C34" s="407"/>
      <c r="D34" s="407"/>
      <c r="E34" s="407"/>
      <c r="F34" s="407"/>
      <c r="G34" s="407"/>
      <c r="H34" s="407"/>
      <c r="I34" s="407"/>
    </row>
  </sheetData>
  <mergeCells count="2">
    <mergeCell ref="A1:I1"/>
    <mergeCell ref="A34:I3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34"/>
  <sheetViews>
    <sheetView workbookViewId="0">
      <selection activeCell="A105" sqref="A105"/>
    </sheetView>
  </sheetViews>
  <sheetFormatPr defaultRowHeight="14.4"/>
  <cols>
    <col min="1" max="1" width="26.7109375" style="359" customWidth="1"/>
    <col min="2" max="9" width="9.28515625" style="359" customWidth="1"/>
  </cols>
  <sheetData>
    <row r="1" spans="1:9" ht="15" customHeight="1">
      <c r="A1" s="406" t="s">
        <v>710</v>
      </c>
      <c r="B1" s="406"/>
      <c r="C1" s="406"/>
      <c r="D1" s="406"/>
      <c r="E1" s="406"/>
      <c r="F1" s="406"/>
      <c r="G1" s="406"/>
      <c r="H1" s="406"/>
      <c r="I1" s="406"/>
    </row>
    <row r="2" spans="1:9">
      <c r="A2" s="361"/>
    </row>
    <row r="3" spans="1:9" ht="10.199999999999999">
      <c r="A3" s="1" t="s">
        <v>685</v>
      </c>
      <c r="B3" s="185" t="s">
        <v>425</v>
      </c>
      <c r="C3" s="185" t="s">
        <v>438</v>
      </c>
      <c r="D3" s="185" t="s">
        <v>464</v>
      </c>
      <c r="E3" s="185" t="s">
        <v>492</v>
      </c>
      <c r="F3" s="185" t="s">
        <v>495</v>
      </c>
      <c r="G3" s="185" t="s">
        <v>498</v>
      </c>
      <c r="H3" s="185" t="s">
        <v>569</v>
      </c>
      <c r="I3" s="185" t="s">
        <v>623</v>
      </c>
    </row>
    <row r="4" spans="1:9" ht="10.199999999999999">
      <c r="A4" t="s">
        <v>687</v>
      </c>
      <c r="B4" s="360">
        <v>1159.4907000000001</v>
      </c>
      <c r="C4" s="360">
        <v>1085.2215000000001</v>
      </c>
      <c r="D4" s="360">
        <v>1258.2546</v>
      </c>
      <c r="E4" s="360">
        <v>1417.1416999999999</v>
      </c>
      <c r="F4" s="360">
        <v>1895.944</v>
      </c>
      <c r="G4" s="360">
        <v>1875.2826</v>
      </c>
      <c r="H4" s="360">
        <v>2143.0322000000001</v>
      </c>
      <c r="I4" s="360"/>
    </row>
    <row r="5" spans="1:9" ht="10.199999999999999">
      <c r="A5" t="s">
        <v>686</v>
      </c>
      <c r="B5" s="360">
        <v>1477.3117</v>
      </c>
      <c r="C5" s="360">
        <v>1317.2411999999999</v>
      </c>
      <c r="D5" s="360">
        <v>1476.2153999999998</v>
      </c>
      <c r="E5" s="360">
        <v>1840.1475</v>
      </c>
      <c r="F5" s="360">
        <v>2212.7518</v>
      </c>
      <c r="G5" s="360">
        <v>1713.5126</v>
      </c>
      <c r="H5" s="360">
        <v>1821.0148000000002</v>
      </c>
      <c r="I5" s="360"/>
    </row>
    <row r="6" spans="1:9" ht="10.199999999999999">
      <c r="A6" t="s">
        <v>696</v>
      </c>
      <c r="B6" s="360">
        <v>63.946899999999999</v>
      </c>
      <c r="C6" s="360">
        <v>327.50740000000002</v>
      </c>
      <c r="D6" s="360">
        <v>341.55869999999999</v>
      </c>
      <c r="E6" s="360">
        <v>812.56389999999999</v>
      </c>
      <c r="F6" s="360">
        <v>654.90390000000002</v>
      </c>
      <c r="G6" s="360">
        <v>926.46960000000001</v>
      </c>
      <c r="H6" s="360">
        <v>1091.8836000000001</v>
      </c>
      <c r="I6" s="360"/>
    </row>
    <row r="7" spans="1:9" ht="10.199999999999999">
      <c r="A7" t="s">
        <v>721</v>
      </c>
      <c r="B7" s="360">
        <v>1100.8751999999999</v>
      </c>
      <c r="C7" s="360">
        <v>974.35580000000004</v>
      </c>
      <c r="D7" s="360">
        <v>985.20480000000009</v>
      </c>
      <c r="E7" s="360">
        <v>862.2521999999999</v>
      </c>
      <c r="F7" s="360">
        <v>771.15539999999999</v>
      </c>
      <c r="G7" s="360">
        <v>849.19219999999996</v>
      </c>
      <c r="H7" s="360">
        <v>982.38469999999995</v>
      </c>
      <c r="I7" s="360"/>
    </row>
    <row r="8" spans="1:9" ht="10.199999999999999">
      <c r="A8" t="s">
        <v>700</v>
      </c>
      <c r="B8" s="360">
        <v>66.724500000000006</v>
      </c>
      <c r="C8" s="360">
        <v>275.0385</v>
      </c>
      <c r="D8" s="360">
        <v>350.37079999999997</v>
      </c>
      <c r="E8" s="360">
        <v>450.18779999999998</v>
      </c>
      <c r="F8" s="360">
        <v>158.83939999999998</v>
      </c>
      <c r="G8" s="360">
        <v>249.994</v>
      </c>
      <c r="H8" s="360">
        <v>641.08010000000002</v>
      </c>
      <c r="I8" s="360"/>
    </row>
    <row r="9" spans="1:9" ht="10.199999999999999">
      <c r="A9" t="s">
        <v>727</v>
      </c>
      <c r="B9" s="360">
        <v>490.19259999999997</v>
      </c>
      <c r="C9" s="360">
        <v>270.7122</v>
      </c>
      <c r="D9" s="360">
        <v>171.42060000000001</v>
      </c>
      <c r="E9" s="360">
        <v>147.24929999999998</v>
      </c>
      <c r="F9" s="360">
        <v>151.7286</v>
      </c>
      <c r="G9" s="360">
        <v>140.9485</v>
      </c>
      <c r="H9" s="360">
        <v>570.69859999999994</v>
      </c>
      <c r="I9" s="360"/>
    </row>
    <row r="10" spans="1:9" ht="10.199999999999999">
      <c r="A10" t="s">
        <v>691</v>
      </c>
      <c r="B10" s="360">
        <v>28.3142</v>
      </c>
      <c r="C10" s="360">
        <v>29.648499999999999</v>
      </c>
      <c r="D10" s="360">
        <v>379.70330000000001</v>
      </c>
      <c r="E10" s="360">
        <v>724.78599999999994</v>
      </c>
      <c r="F10" s="360">
        <v>556.4833000000001</v>
      </c>
      <c r="G10" s="360">
        <v>347.16300000000001</v>
      </c>
      <c r="H10" s="360">
        <v>507.1413</v>
      </c>
      <c r="I10" s="360"/>
    </row>
    <row r="11" spans="1:9" ht="10.199999999999999">
      <c r="A11" t="s">
        <v>699</v>
      </c>
      <c r="B11" s="360">
        <v>366.44600000000003</v>
      </c>
      <c r="C11" s="360">
        <v>363.73290000000003</v>
      </c>
      <c r="D11" s="360">
        <v>355.3546</v>
      </c>
      <c r="E11" s="360">
        <v>477.05790000000002</v>
      </c>
      <c r="F11" s="360">
        <v>444.76409999999998</v>
      </c>
      <c r="G11" s="360">
        <v>517.06640000000004</v>
      </c>
      <c r="H11" s="360">
        <v>497.6028</v>
      </c>
      <c r="I11" s="360"/>
    </row>
    <row r="12" spans="1:9" ht="10.199999999999999">
      <c r="A12" t="s">
        <v>692</v>
      </c>
      <c r="B12" s="360">
        <v>268.74490000000003</v>
      </c>
      <c r="C12" s="360">
        <v>313.99720000000002</v>
      </c>
      <c r="D12" s="360">
        <v>312.48</v>
      </c>
      <c r="E12" s="360">
        <v>353.2867</v>
      </c>
      <c r="F12" s="360">
        <v>372.75279999999998</v>
      </c>
      <c r="G12" s="360">
        <v>370.0926</v>
      </c>
      <c r="H12" s="360">
        <v>404.82890000000003</v>
      </c>
      <c r="I12" s="360"/>
    </row>
    <row r="13" spans="1:9" ht="10.199999999999999">
      <c r="A13" t="s">
        <v>717</v>
      </c>
      <c r="B13" s="360">
        <v>31.179500000000001</v>
      </c>
      <c r="C13" s="360">
        <v>114.49469999999999</v>
      </c>
      <c r="D13" s="360">
        <v>270.22649999999999</v>
      </c>
      <c r="E13" s="360">
        <v>298.7937</v>
      </c>
      <c r="F13" s="360">
        <v>128.15880000000001</v>
      </c>
      <c r="G13" s="360">
        <v>55.4009</v>
      </c>
      <c r="H13" s="360">
        <v>350.8442</v>
      </c>
      <c r="I13" s="360"/>
    </row>
    <row r="14" spans="1:9" ht="10.199999999999999">
      <c r="A14" t="s">
        <v>688</v>
      </c>
      <c r="B14" s="360">
        <v>233.29270000000002</v>
      </c>
      <c r="C14" s="360">
        <v>173.02710000000002</v>
      </c>
      <c r="D14" s="360">
        <v>209.22279999999998</v>
      </c>
      <c r="E14" s="360">
        <v>198.6498</v>
      </c>
      <c r="F14" s="360">
        <v>125.44439999999999</v>
      </c>
      <c r="G14" s="360">
        <v>223.2655</v>
      </c>
      <c r="H14" s="360">
        <v>329.37009999999998</v>
      </c>
      <c r="I14" s="360"/>
    </row>
    <row r="15" spans="1:9" ht="10.199999999999999">
      <c r="A15" t="s">
        <v>697</v>
      </c>
      <c r="B15" s="360">
        <v>416.44640000000004</v>
      </c>
      <c r="C15" s="360">
        <v>395.76990000000001</v>
      </c>
      <c r="D15" s="360">
        <v>379.8877</v>
      </c>
      <c r="E15" s="360">
        <v>412.54829999999998</v>
      </c>
      <c r="F15" s="360">
        <v>391.05720000000002</v>
      </c>
      <c r="G15" s="360">
        <v>165.4616</v>
      </c>
      <c r="H15" s="360">
        <v>290.03559999999999</v>
      </c>
      <c r="I15" s="360"/>
    </row>
    <row r="16" spans="1:9" ht="10.199999999999999">
      <c r="A16" t="s">
        <v>698</v>
      </c>
      <c r="B16" s="360">
        <v>173.4761</v>
      </c>
      <c r="C16" s="360">
        <v>174.4341</v>
      </c>
      <c r="D16" s="360">
        <v>173.02629999999999</v>
      </c>
      <c r="E16" s="360">
        <v>215.62460000000002</v>
      </c>
      <c r="F16" s="360">
        <v>237.43620000000001</v>
      </c>
      <c r="G16" s="360">
        <v>241.965</v>
      </c>
      <c r="H16" s="360">
        <v>263.06509999999997</v>
      </c>
      <c r="I16" s="360"/>
    </row>
    <row r="17" spans="1:9" ht="10.199999999999999">
      <c r="A17" t="s">
        <v>694</v>
      </c>
      <c r="B17" s="360">
        <v>79.913499999999999</v>
      </c>
      <c r="C17" s="360">
        <v>34.562800000000003</v>
      </c>
      <c r="D17" s="360">
        <v>2.7300000000000001E-2</v>
      </c>
      <c r="E17" s="360">
        <v>202.40520000000001</v>
      </c>
      <c r="F17" s="360">
        <v>280.3784</v>
      </c>
      <c r="G17" s="360">
        <v>215.88839999999999</v>
      </c>
      <c r="H17" s="360">
        <v>238.71549999999999</v>
      </c>
      <c r="I17" s="360"/>
    </row>
    <row r="18" spans="1:9" ht="10.199999999999999">
      <c r="A18" t="s">
        <v>689</v>
      </c>
      <c r="B18" s="360">
        <v>109.27369999999999</v>
      </c>
      <c r="C18" s="360">
        <v>91.388000000000005</v>
      </c>
      <c r="D18" s="360">
        <v>53.171900000000001</v>
      </c>
      <c r="E18" s="360">
        <v>100.38069999999999</v>
      </c>
      <c r="F18" s="360">
        <v>28.007300000000001</v>
      </c>
      <c r="G18" s="360">
        <v>68.312699999999992</v>
      </c>
      <c r="H18" s="360">
        <v>232.39760000000001</v>
      </c>
      <c r="I18" s="360"/>
    </row>
    <row r="19" spans="1:9" ht="10.199999999999999">
      <c r="A19" t="s">
        <v>728</v>
      </c>
      <c r="B19" s="360">
        <v>129.40940000000001</v>
      </c>
      <c r="C19" s="360">
        <v>118.95139999999999</v>
      </c>
      <c r="D19" s="360">
        <v>166.91070000000002</v>
      </c>
      <c r="E19" s="360">
        <v>179.50310000000002</v>
      </c>
      <c r="F19" s="360">
        <v>207.66070000000002</v>
      </c>
      <c r="G19" s="360">
        <v>212.102</v>
      </c>
      <c r="H19" s="360">
        <v>211.99549999999999</v>
      </c>
      <c r="I19" s="360"/>
    </row>
    <row r="20" spans="1:9" ht="10.199999999999999">
      <c r="A20" t="s">
        <v>701</v>
      </c>
      <c r="B20" s="360">
        <v>141.97039999999998</v>
      </c>
      <c r="C20" s="360">
        <v>141.78550000000001</v>
      </c>
      <c r="D20" s="360">
        <v>158.6799</v>
      </c>
      <c r="E20" s="360">
        <v>181.74449999999999</v>
      </c>
      <c r="F20" s="360">
        <v>197.35300000000001</v>
      </c>
      <c r="G20" s="360">
        <v>210.61240000000001</v>
      </c>
      <c r="H20" s="360">
        <v>191.565</v>
      </c>
      <c r="I20" s="360"/>
    </row>
    <row r="21" spans="1:9" ht="10.199999999999999">
      <c r="A21" t="s">
        <v>702</v>
      </c>
      <c r="B21" s="360">
        <v>658.08050000000003</v>
      </c>
      <c r="C21" s="360">
        <v>757.46349999999995</v>
      </c>
      <c r="D21" s="360">
        <v>771.55790000000002</v>
      </c>
      <c r="E21" s="360">
        <v>778.33130000000006</v>
      </c>
      <c r="F21" s="360">
        <v>308.30129999999997</v>
      </c>
      <c r="G21" s="360">
        <v>310.16550000000001</v>
      </c>
      <c r="H21" s="360">
        <v>188.07820000000001</v>
      </c>
      <c r="I21" s="360"/>
    </row>
    <row r="22" spans="1:9" ht="10.199999999999999">
      <c r="A22" t="s">
        <v>729</v>
      </c>
      <c r="B22" s="360">
        <v>12.0097</v>
      </c>
      <c r="C22" s="360">
        <v>48.281599999999997</v>
      </c>
      <c r="D22" s="360">
        <v>52.622500000000002</v>
      </c>
      <c r="E22" s="360">
        <v>100.65049999999999</v>
      </c>
      <c r="F22" s="360">
        <v>156.62439999999998</v>
      </c>
      <c r="G22" s="360">
        <v>150.73520000000002</v>
      </c>
      <c r="H22" s="360">
        <v>165.55520000000001</v>
      </c>
      <c r="I22" s="360"/>
    </row>
    <row r="23" spans="1:9" ht="10.199999999999999">
      <c r="A23" t="s">
        <v>730</v>
      </c>
      <c r="B23" s="360">
        <v>2.9916999999999998</v>
      </c>
      <c r="C23" s="360">
        <v>6.5175000000000001</v>
      </c>
      <c r="D23" s="360">
        <v>5.5243000000000002</v>
      </c>
      <c r="E23" s="360">
        <v>33.2014</v>
      </c>
      <c r="F23" s="360">
        <v>107.8822</v>
      </c>
      <c r="G23" s="360">
        <v>92.5715</v>
      </c>
      <c r="H23" s="360">
        <v>163.90460000000002</v>
      </c>
      <c r="I23" s="360"/>
    </row>
    <row r="24" spans="1:9" ht="10.199999999999999">
      <c r="A24" t="s">
        <v>723</v>
      </c>
      <c r="B24" s="360">
        <v>33.033199999999994</v>
      </c>
      <c r="C24" s="360">
        <v>190.49579999999997</v>
      </c>
      <c r="D24" s="360">
        <v>189.9324</v>
      </c>
      <c r="E24" s="360">
        <v>240.50200000000001</v>
      </c>
      <c r="F24" s="360">
        <v>0.5282</v>
      </c>
      <c r="G24" s="360">
        <v>0.88179999999999992</v>
      </c>
      <c r="H24" s="360">
        <v>126.26610000000001</v>
      </c>
      <c r="I24" s="360"/>
    </row>
    <row r="25" spans="1:9" ht="10.199999999999999">
      <c r="A25" t="s">
        <v>731</v>
      </c>
      <c r="B25" s="360">
        <v>99.3172</v>
      </c>
      <c r="C25" s="360">
        <v>92.337199999999996</v>
      </c>
      <c r="D25" s="360">
        <v>108.94489999999999</v>
      </c>
      <c r="E25" s="360">
        <v>94.847800000000007</v>
      </c>
      <c r="F25" s="360">
        <v>122.8386</v>
      </c>
      <c r="G25" s="360">
        <v>117.32899999999999</v>
      </c>
      <c r="H25" s="360">
        <v>120.7687</v>
      </c>
      <c r="I25" s="360"/>
    </row>
    <row r="26" spans="1:9" ht="10.199999999999999">
      <c r="A26" t="s">
        <v>724</v>
      </c>
      <c r="B26" s="360">
        <v>43.195599999999999</v>
      </c>
      <c r="C26" s="360">
        <v>40.244900000000001</v>
      </c>
      <c r="D26" s="360">
        <v>50.807699999999997</v>
      </c>
      <c r="E26" s="360">
        <v>64.5167</v>
      </c>
      <c r="F26" s="360">
        <v>57.6648</v>
      </c>
      <c r="G26" s="360">
        <v>59.750399999999999</v>
      </c>
      <c r="H26" s="360">
        <v>104.71210000000001</v>
      </c>
      <c r="I26" s="360"/>
    </row>
    <row r="27" spans="1:9" ht="10.199999999999999">
      <c r="A27" t="s">
        <v>732</v>
      </c>
      <c r="B27" s="360">
        <v>75.275600000000011</v>
      </c>
      <c r="C27" s="360">
        <v>73.678699999999992</v>
      </c>
      <c r="D27" s="360">
        <v>68.246300000000005</v>
      </c>
      <c r="E27" s="360">
        <v>113.3516</v>
      </c>
      <c r="F27" s="360">
        <v>120.9038</v>
      </c>
      <c r="G27" s="360">
        <v>113.4988</v>
      </c>
      <c r="H27" s="360">
        <v>104.55500000000001</v>
      </c>
      <c r="I27" s="360"/>
    </row>
    <row r="28" spans="1:9" ht="10.199999999999999">
      <c r="A28" t="s">
        <v>733</v>
      </c>
      <c r="B28" s="360">
        <v>58.659300000000002</v>
      </c>
      <c r="C28" s="360">
        <v>49.911699999999996</v>
      </c>
      <c r="D28" s="360">
        <v>117.3462</v>
      </c>
      <c r="E28" s="360">
        <v>79.116799999999998</v>
      </c>
      <c r="F28" s="360">
        <v>65.997699999999995</v>
      </c>
      <c r="G28" s="360">
        <v>267.3929</v>
      </c>
      <c r="H28" s="360">
        <v>83.190600000000003</v>
      </c>
      <c r="I28" s="360"/>
    </row>
    <row r="29" spans="1:9" ht="10.199999999999999">
      <c r="A29" t="s">
        <v>703</v>
      </c>
      <c r="B29" s="360">
        <f>B30-SUM(B4:B28)</f>
        <v>1525.1932000000015</v>
      </c>
      <c r="C29" s="360">
        <f t="shared" ref="C29:H29" si="0">C30-SUM(C4:C28)</f>
        <v>2650.3252000000011</v>
      </c>
      <c r="D29" s="360">
        <f t="shared" si="0"/>
        <v>2096.8113000000012</v>
      </c>
      <c r="E29" s="360">
        <f t="shared" si="0"/>
        <v>1511.901100000001</v>
      </c>
      <c r="F29" s="360">
        <f t="shared" si="0"/>
        <v>1087.5730000000021</v>
      </c>
      <c r="G29" s="360">
        <f t="shared" si="0"/>
        <v>1009.9911000000011</v>
      </c>
      <c r="H29" s="360">
        <f t="shared" si="0"/>
        <v>890.54499999999643</v>
      </c>
      <c r="I29" s="360"/>
    </row>
    <row r="30" spans="1:9" ht="10.199999999999999">
      <c r="A30" t="s">
        <v>3</v>
      </c>
      <c r="B30" s="360">
        <v>8844.7644</v>
      </c>
      <c r="C30" s="360">
        <v>10111.124800000001</v>
      </c>
      <c r="D30" s="360">
        <v>10503.509400000001</v>
      </c>
      <c r="E30" s="360">
        <v>11890.742099999999</v>
      </c>
      <c r="F30" s="360">
        <v>10843.133300000001</v>
      </c>
      <c r="G30" s="360">
        <v>10505.046199999999</v>
      </c>
      <c r="H30" s="360">
        <v>12715.231099999999</v>
      </c>
      <c r="I30" s="360"/>
    </row>
    <row r="31" spans="1:9">
      <c r="A31" s="361"/>
      <c r="B31" s="361"/>
      <c r="C31" s="361"/>
      <c r="D31" s="361"/>
      <c r="E31" s="361"/>
      <c r="F31" s="361"/>
      <c r="G31" s="361"/>
      <c r="H31" s="361"/>
      <c r="I31" s="361"/>
    </row>
    <row r="32" spans="1:9" ht="24.75" customHeight="1">
      <c r="A32" s="135" t="s">
        <v>726</v>
      </c>
      <c r="B32" s="135"/>
      <c r="C32" s="135"/>
      <c r="D32" s="135"/>
      <c r="E32" s="135"/>
      <c r="F32" s="135"/>
      <c r="G32" s="135"/>
      <c r="H32" s="135"/>
      <c r="I32" s="135"/>
    </row>
    <row r="34" spans="1:9" ht="10.199999999999999">
      <c r="A34" s="407" t="s">
        <v>704</v>
      </c>
      <c r="B34" s="407"/>
      <c r="C34" s="407"/>
      <c r="D34" s="407"/>
      <c r="E34" s="407"/>
      <c r="F34" s="407"/>
      <c r="G34" s="407"/>
      <c r="H34" s="407"/>
      <c r="I34" s="407"/>
    </row>
  </sheetData>
  <mergeCells count="2">
    <mergeCell ref="A1:I1"/>
    <mergeCell ref="A34:I3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34"/>
  <sheetViews>
    <sheetView workbookViewId="0">
      <selection activeCell="A105" sqref="A105"/>
    </sheetView>
  </sheetViews>
  <sheetFormatPr defaultRowHeight="14.4"/>
  <cols>
    <col min="1" max="1" width="26.7109375" style="359" customWidth="1"/>
    <col min="2" max="9" width="9.28515625" style="359" customWidth="1"/>
  </cols>
  <sheetData>
    <row r="1" spans="1:9" ht="15" customHeight="1">
      <c r="A1" s="406" t="s">
        <v>711</v>
      </c>
      <c r="B1" s="406"/>
      <c r="C1" s="406"/>
      <c r="D1" s="406"/>
      <c r="E1" s="406"/>
      <c r="F1" s="406"/>
      <c r="G1" s="406"/>
      <c r="H1" s="406"/>
      <c r="I1" s="406"/>
    </row>
    <row r="2" spans="1:9">
      <c r="A2" s="361"/>
    </row>
    <row r="3" spans="1:9" ht="10.199999999999999">
      <c r="A3" s="1" t="s">
        <v>685</v>
      </c>
      <c r="B3" s="185" t="s">
        <v>425</v>
      </c>
      <c r="C3" s="185" t="s">
        <v>438</v>
      </c>
      <c r="D3" s="185" t="s">
        <v>464</v>
      </c>
      <c r="E3" s="185" t="s">
        <v>492</v>
      </c>
      <c r="F3" s="185" t="s">
        <v>495</v>
      </c>
      <c r="G3" s="185" t="s">
        <v>498</v>
      </c>
      <c r="H3" s="185" t="s">
        <v>569</v>
      </c>
      <c r="I3" s="185" t="s">
        <v>623</v>
      </c>
    </row>
    <row r="4" spans="1:9" ht="10.199999999999999">
      <c r="A4" t="s">
        <v>718</v>
      </c>
      <c r="B4" s="362">
        <v>5.2329999999999997</v>
      </c>
      <c r="C4" s="362">
        <v>47.197400000000002</v>
      </c>
      <c r="D4" s="362">
        <v>0.26700000000000002</v>
      </c>
      <c r="E4" s="362">
        <v>57.656300000000002</v>
      </c>
      <c r="F4" s="362">
        <v>91.6892</v>
      </c>
      <c r="G4" s="362">
        <v>205.7124</v>
      </c>
      <c r="H4" s="362">
        <v>301.42930000000001</v>
      </c>
      <c r="I4" s="360"/>
    </row>
    <row r="5" spans="1:9" ht="10.199999999999999">
      <c r="A5" t="s">
        <v>686</v>
      </c>
      <c r="B5" s="362">
        <v>151.22409999999999</v>
      </c>
      <c r="C5" s="362">
        <v>187.11660000000001</v>
      </c>
      <c r="D5" s="362">
        <v>189.75910000000002</v>
      </c>
      <c r="E5" s="362">
        <v>245.16310000000001</v>
      </c>
      <c r="F5" s="362">
        <v>235.5539</v>
      </c>
      <c r="G5" s="362">
        <v>265.02790000000005</v>
      </c>
      <c r="H5" s="362">
        <v>166.65649999999999</v>
      </c>
      <c r="I5" s="360"/>
    </row>
    <row r="6" spans="1:9" ht="10.199999999999999">
      <c r="A6" t="s">
        <v>699</v>
      </c>
      <c r="B6" s="362">
        <v>13.4307</v>
      </c>
      <c r="C6" s="362">
        <v>37.3003</v>
      </c>
      <c r="D6" s="362">
        <v>121.43519999999999</v>
      </c>
      <c r="E6" s="362">
        <v>116.51889999999999</v>
      </c>
      <c r="F6" s="362">
        <v>118.6057</v>
      </c>
      <c r="G6" s="362">
        <v>149.93639999999999</v>
      </c>
      <c r="H6" s="362">
        <v>152.18360000000001</v>
      </c>
      <c r="I6" s="360"/>
    </row>
    <row r="7" spans="1:9" ht="10.199999999999999">
      <c r="A7" t="s">
        <v>696</v>
      </c>
      <c r="B7" s="362">
        <v>13.911</v>
      </c>
      <c r="C7" s="362">
        <v>35.883900000000004</v>
      </c>
      <c r="D7" s="362">
        <v>60.241999999999997</v>
      </c>
      <c r="E7" s="362">
        <v>58.769100000000002</v>
      </c>
      <c r="F7" s="362">
        <v>51.085999999999999</v>
      </c>
      <c r="G7" s="362">
        <v>122.31939999999999</v>
      </c>
      <c r="H7" s="362">
        <v>108.4662</v>
      </c>
      <c r="I7" s="360"/>
    </row>
    <row r="8" spans="1:9" ht="10.199999999999999">
      <c r="A8" t="s">
        <v>694</v>
      </c>
      <c r="B8" s="362">
        <v>7.0000000000000001E-3</v>
      </c>
      <c r="C8" s="362">
        <v>0.193</v>
      </c>
      <c r="D8" s="362">
        <v>42.121400000000001</v>
      </c>
      <c r="E8" s="362">
        <v>104.74260000000001</v>
      </c>
      <c r="F8" s="362">
        <v>75.354900000000001</v>
      </c>
      <c r="G8" s="362">
        <v>1.8E-3</v>
      </c>
      <c r="H8" s="362">
        <v>93.051299999999998</v>
      </c>
      <c r="I8" s="360"/>
    </row>
    <row r="9" spans="1:9" ht="10.199999999999999">
      <c r="A9" t="s">
        <v>692</v>
      </c>
      <c r="B9" s="362">
        <v>18.279799999999998</v>
      </c>
      <c r="C9" s="362">
        <v>18.290700000000001</v>
      </c>
      <c r="D9" s="362">
        <v>32.865699999999997</v>
      </c>
      <c r="E9" s="362">
        <v>45.9405</v>
      </c>
      <c r="F9" s="362">
        <v>49.050800000000002</v>
      </c>
      <c r="G9" s="362">
        <v>42.809699999999999</v>
      </c>
      <c r="H9" s="362">
        <v>71.608399999999989</v>
      </c>
      <c r="I9" s="360"/>
    </row>
    <row r="10" spans="1:9" ht="10.199999999999999">
      <c r="A10" t="s">
        <v>702</v>
      </c>
      <c r="B10" s="362">
        <v>22.942</v>
      </c>
      <c r="C10" s="362">
        <v>51.377300000000005</v>
      </c>
      <c r="D10" s="362">
        <v>18.988099999999999</v>
      </c>
      <c r="E10" s="362">
        <v>61.919800000000002</v>
      </c>
      <c r="F10" s="362">
        <v>50.054499999999997</v>
      </c>
      <c r="G10" s="362">
        <v>32.436700000000002</v>
      </c>
      <c r="H10" s="362">
        <v>48.3446</v>
      </c>
      <c r="I10" s="360"/>
    </row>
    <row r="11" spans="1:9" ht="10.199999999999999">
      <c r="A11" t="s">
        <v>731</v>
      </c>
      <c r="B11" s="362">
        <v>22.988499999999998</v>
      </c>
      <c r="C11" s="362">
        <v>15.5093</v>
      </c>
      <c r="D11" s="362">
        <v>17.513300000000001</v>
      </c>
      <c r="E11" s="362">
        <v>22.015400000000003</v>
      </c>
      <c r="F11" s="362">
        <v>30.6128</v>
      </c>
      <c r="G11" s="362">
        <v>32.986499999999999</v>
      </c>
      <c r="H11" s="362">
        <v>28.769200000000001</v>
      </c>
      <c r="I11" s="360"/>
    </row>
    <row r="12" spans="1:9" ht="10.199999999999999">
      <c r="A12" t="s">
        <v>721</v>
      </c>
      <c r="B12" s="362">
        <v>25.416700000000002</v>
      </c>
      <c r="C12" s="362">
        <v>30.853400000000001</v>
      </c>
      <c r="D12" s="362">
        <v>31.754999999999999</v>
      </c>
      <c r="E12" s="362">
        <v>28.755200000000002</v>
      </c>
      <c r="F12" s="362">
        <v>15.6471</v>
      </c>
      <c r="G12" s="362">
        <v>22.658099999999997</v>
      </c>
      <c r="H12" s="362">
        <v>21.212799999999998</v>
      </c>
      <c r="I12" s="360"/>
    </row>
    <row r="13" spans="1:9" ht="10.199999999999999">
      <c r="A13" t="s">
        <v>732</v>
      </c>
      <c r="B13" s="362">
        <v>41.632199999999997</v>
      </c>
      <c r="C13" s="362">
        <v>28.798200000000001</v>
      </c>
      <c r="D13" s="362">
        <v>40.959099999999999</v>
      </c>
      <c r="E13" s="362">
        <v>36.348599999999998</v>
      </c>
      <c r="F13" s="362">
        <v>14.9137</v>
      </c>
      <c r="G13" s="362">
        <v>18.060500000000001</v>
      </c>
      <c r="H13" s="362">
        <v>15.437299999999999</v>
      </c>
      <c r="I13" s="360"/>
    </row>
    <row r="14" spans="1:9" ht="10.199999999999999">
      <c r="A14" t="s">
        <v>727</v>
      </c>
      <c r="B14" s="362">
        <v>159.91660000000002</v>
      </c>
      <c r="C14" s="362">
        <v>23.247700000000002</v>
      </c>
      <c r="D14" s="362">
        <v>29.701900000000002</v>
      </c>
      <c r="E14" s="362">
        <v>64.658000000000001</v>
      </c>
      <c r="F14" s="362">
        <v>50.521300000000004</v>
      </c>
      <c r="G14" s="362">
        <v>30.431999999999999</v>
      </c>
      <c r="H14" s="362">
        <v>11.798299999999999</v>
      </c>
      <c r="I14" s="360"/>
    </row>
    <row r="15" spans="1:9" ht="10.199999999999999">
      <c r="A15" t="s">
        <v>734</v>
      </c>
      <c r="B15" s="362">
        <v>6.9563000000000006</v>
      </c>
      <c r="C15" s="362">
        <v>8.3152999999999988</v>
      </c>
      <c r="D15" s="362">
        <v>8.5669000000000004</v>
      </c>
      <c r="E15" s="362">
        <v>10.1411</v>
      </c>
      <c r="F15" s="362">
        <v>11.128299999999999</v>
      </c>
      <c r="G15" s="362">
        <v>10.8474</v>
      </c>
      <c r="H15" s="362">
        <v>10.7075</v>
      </c>
      <c r="I15" s="360"/>
    </row>
    <row r="16" spans="1:9" ht="10.199999999999999">
      <c r="A16" t="s">
        <v>735</v>
      </c>
      <c r="B16" s="362">
        <v>0</v>
      </c>
      <c r="C16" s="362">
        <v>0</v>
      </c>
      <c r="D16" s="362">
        <v>8.36</v>
      </c>
      <c r="E16" s="362">
        <v>10</v>
      </c>
      <c r="F16" s="362">
        <v>7.9356999999999998</v>
      </c>
      <c r="G16" s="362">
        <v>5.81</v>
      </c>
      <c r="H16" s="362">
        <v>10.144299999999999</v>
      </c>
      <c r="I16" s="360"/>
    </row>
    <row r="17" spans="1:9" ht="10.199999999999999">
      <c r="A17" t="s">
        <v>728</v>
      </c>
      <c r="B17" s="362">
        <v>2.3066</v>
      </c>
      <c r="C17" s="362">
        <v>6.3741000000000003</v>
      </c>
      <c r="D17" s="362">
        <v>4.1393999999999993</v>
      </c>
      <c r="E17" s="362">
        <v>5.4343000000000004</v>
      </c>
      <c r="F17" s="362">
        <v>6.0537000000000001</v>
      </c>
      <c r="G17" s="362">
        <v>7.0548000000000002</v>
      </c>
      <c r="H17" s="362">
        <v>7.7233000000000001</v>
      </c>
      <c r="I17" s="360"/>
    </row>
    <row r="18" spans="1:9" ht="10.199999999999999">
      <c r="A18" t="s">
        <v>736</v>
      </c>
      <c r="B18" s="362">
        <v>0</v>
      </c>
      <c r="C18" s="362">
        <v>0</v>
      </c>
      <c r="D18" s="362">
        <v>0</v>
      </c>
      <c r="E18" s="362">
        <v>0</v>
      </c>
      <c r="F18" s="362">
        <v>7.6</v>
      </c>
      <c r="G18" s="362">
        <v>7.6</v>
      </c>
      <c r="H18" s="362">
        <v>7.6</v>
      </c>
      <c r="I18" s="360"/>
    </row>
    <row r="19" spans="1:9" ht="10.199999999999999">
      <c r="A19" t="s">
        <v>701</v>
      </c>
      <c r="B19" s="362">
        <v>6.9453000000000005</v>
      </c>
      <c r="C19" s="362">
        <v>3.7979000000000003</v>
      </c>
      <c r="D19" s="362">
        <v>5.1151999999999997</v>
      </c>
      <c r="E19" s="362">
        <v>5.9880000000000004</v>
      </c>
      <c r="F19" s="362">
        <v>1.468</v>
      </c>
      <c r="G19" s="362">
        <v>6.9130000000000003</v>
      </c>
      <c r="H19" s="362">
        <v>6.8971999999999998</v>
      </c>
      <c r="I19" s="360"/>
    </row>
    <row r="20" spans="1:9" ht="10.199999999999999">
      <c r="A20" t="s">
        <v>737</v>
      </c>
      <c r="B20" s="362">
        <v>9.4</v>
      </c>
      <c r="C20" s="362">
        <v>13.8736</v>
      </c>
      <c r="D20" s="362">
        <v>6.5</v>
      </c>
      <c r="E20" s="362">
        <v>0</v>
      </c>
      <c r="F20" s="362">
        <v>3.9591999999999996</v>
      </c>
      <c r="G20" s="362">
        <v>6.1</v>
      </c>
      <c r="H20" s="362">
        <v>6.1</v>
      </c>
      <c r="I20" s="360"/>
    </row>
    <row r="21" spans="1:9" ht="10.199999999999999">
      <c r="A21" t="s">
        <v>724</v>
      </c>
      <c r="B21" s="362">
        <v>0.16550000000000001</v>
      </c>
      <c r="C21" s="362">
        <v>5.4700000000000006E-2</v>
      </c>
      <c r="D21" s="362">
        <v>1.0780999999999998</v>
      </c>
      <c r="E21" s="362">
        <v>5.5961999999999996</v>
      </c>
      <c r="F21" s="362">
        <v>0.9282999999999999</v>
      </c>
      <c r="G21" s="362">
        <v>4.0335999999999999</v>
      </c>
      <c r="H21" s="362">
        <v>5.6452999999999998</v>
      </c>
      <c r="I21" s="360"/>
    </row>
    <row r="22" spans="1:9" ht="10.199999999999999">
      <c r="A22" t="s">
        <v>698</v>
      </c>
      <c r="B22" s="362">
        <v>0.21280000000000002</v>
      </c>
      <c r="C22" s="362">
        <v>0.31880000000000003</v>
      </c>
      <c r="D22" s="362">
        <v>0.40960000000000002</v>
      </c>
      <c r="E22" s="362">
        <v>1.4657</v>
      </c>
      <c r="F22" s="362">
        <v>0.4551</v>
      </c>
      <c r="G22" s="362">
        <v>2.3784999999999998</v>
      </c>
      <c r="H22" s="362">
        <v>4.7221000000000002</v>
      </c>
      <c r="I22" s="360"/>
    </row>
    <row r="23" spans="1:9" ht="10.199999999999999">
      <c r="A23" t="s">
        <v>738</v>
      </c>
      <c r="B23" s="362">
        <v>2.7309999999999999</v>
      </c>
      <c r="C23" s="362">
        <v>0.85609999999999997</v>
      </c>
      <c r="D23" s="362">
        <v>2.4114</v>
      </c>
      <c r="E23" s="362">
        <v>5.5823999999999998</v>
      </c>
      <c r="F23" s="362">
        <v>3.5129999999999999</v>
      </c>
      <c r="G23" s="362">
        <v>3.298</v>
      </c>
      <c r="H23" s="362">
        <v>4.4536000000000007</v>
      </c>
      <c r="I23" s="360"/>
    </row>
    <row r="24" spans="1:9" ht="10.199999999999999">
      <c r="A24" t="s">
        <v>693</v>
      </c>
      <c r="B24" s="362">
        <v>2.0047999999999999</v>
      </c>
      <c r="C24" s="362">
        <v>14.9963</v>
      </c>
      <c r="D24" s="362">
        <v>5.0021000000000004</v>
      </c>
      <c r="E24" s="362">
        <v>4.4000000000000003E-3</v>
      </c>
      <c r="F24" s="362">
        <v>5.5500000000000001E-2</v>
      </c>
      <c r="G24" s="362">
        <v>5.0999999999999995E-3</v>
      </c>
      <c r="H24" s="362">
        <v>3.9996</v>
      </c>
      <c r="I24" s="360"/>
    </row>
    <row r="25" spans="1:9" ht="10.199999999999999">
      <c r="A25" t="s">
        <v>733</v>
      </c>
      <c r="B25" s="362">
        <v>0.70350000000000001</v>
      </c>
      <c r="C25" s="362">
        <v>0.17169999999999999</v>
      </c>
      <c r="D25" s="362">
        <v>0.84489999999999998</v>
      </c>
      <c r="E25" s="362">
        <v>1.6365999999999998</v>
      </c>
      <c r="F25" s="362">
        <v>5.6571999999999996</v>
      </c>
      <c r="G25" s="362">
        <v>2.6318999999999999</v>
      </c>
      <c r="H25" s="362">
        <v>3.1455000000000002</v>
      </c>
      <c r="I25" s="360"/>
    </row>
    <row r="26" spans="1:9" ht="10.199999999999999">
      <c r="A26" t="s">
        <v>688</v>
      </c>
      <c r="B26" s="362">
        <v>5.0833999999999993</v>
      </c>
      <c r="C26" s="362">
        <v>4.1094999999999997</v>
      </c>
      <c r="D26" s="362">
        <v>3.7986</v>
      </c>
      <c r="E26" s="362">
        <v>2.9769000000000001</v>
      </c>
      <c r="F26" s="362">
        <v>2.6763000000000003</v>
      </c>
      <c r="G26" s="362">
        <v>2.7725</v>
      </c>
      <c r="H26" s="362">
        <v>2.6355</v>
      </c>
      <c r="I26" s="360"/>
    </row>
    <row r="27" spans="1:9" ht="10.199999999999999">
      <c r="A27" t="s">
        <v>739</v>
      </c>
      <c r="B27" s="362">
        <v>2.3088000000000002</v>
      </c>
      <c r="C27" s="362">
        <v>2.5258000000000003</v>
      </c>
      <c r="D27" s="362">
        <v>2.6978</v>
      </c>
      <c r="E27" s="362">
        <v>2.1195999999999997</v>
      </c>
      <c r="F27" s="362">
        <v>2.1921999999999997</v>
      </c>
      <c r="G27" s="362">
        <v>2.0449000000000002</v>
      </c>
      <c r="H27" s="362">
        <v>2.2865000000000002</v>
      </c>
      <c r="I27" s="360"/>
    </row>
    <row r="28" spans="1:9" ht="10.199999999999999">
      <c r="A28" t="s">
        <v>740</v>
      </c>
      <c r="B28" s="362">
        <v>0.20449999999999999</v>
      </c>
      <c r="C28" s="362">
        <v>0.3221</v>
      </c>
      <c r="D28" s="362">
        <v>0.50219999999999998</v>
      </c>
      <c r="E28" s="362">
        <v>0.89760000000000006</v>
      </c>
      <c r="F28" s="362">
        <v>0.84710000000000008</v>
      </c>
      <c r="G28" s="362">
        <v>1.0628</v>
      </c>
      <c r="H28" s="362">
        <v>1.9545999999999999</v>
      </c>
      <c r="I28" s="360"/>
    </row>
    <row r="29" spans="1:9" ht="10.199999999999999">
      <c r="A29" t="s">
        <v>703</v>
      </c>
      <c r="B29" s="362">
        <f>B30-SUM(B4:B28)</f>
        <v>150.10649999999998</v>
      </c>
      <c r="C29" s="362">
        <f t="shared" ref="C29:H29" si="0">C30-SUM(C4:C28)</f>
        <v>449.8608999999999</v>
      </c>
      <c r="D29" s="362">
        <f t="shared" si="0"/>
        <v>217.03949999999986</v>
      </c>
      <c r="E29" s="362">
        <f t="shared" si="0"/>
        <v>19.374099999999885</v>
      </c>
      <c r="F29" s="362">
        <f t="shared" si="0"/>
        <v>179.64040000000011</v>
      </c>
      <c r="G29" s="362">
        <f t="shared" si="0"/>
        <v>174.2953</v>
      </c>
      <c r="H29" s="362">
        <f t="shared" si="0"/>
        <v>11.169199999999819</v>
      </c>
      <c r="I29" s="360"/>
    </row>
    <row r="30" spans="1:9" ht="10.199999999999999">
      <c r="A30" t="s">
        <v>3</v>
      </c>
      <c r="B30" s="362">
        <v>664.11059999999998</v>
      </c>
      <c r="C30" s="362">
        <v>981.34460000000001</v>
      </c>
      <c r="D30" s="362">
        <v>852.07349999999997</v>
      </c>
      <c r="E30" s="362">
        <v>913.70440000000008</v>
      </c>
      <c r="F30" s="362">
        <v>1017.1999000000001</v>
      </c>
      <c r="G30" s="362">
        <v>1159.2292</v>
      </c>
      <c r="H30" s="362">
        <v>1108.1416999999999</v>
      </c>
      <c r="I30" s="360"/>
    </row>
    <row r="31" spans="1:9">
      <c r="A31" s="361"/>
      <c r="B31" s="361"/>
      <c r="C31" s="361"/>
      <c r="D31" s="361"/>
      <c r="E31" s="361"/>
      <c r="F31" s="361"/>
      <c r="G31" s="361"/>
      <c r="H31" s="361"/>
      <c r="I31" s="361"/>
    </row>
    <row r="32" spans="1:9" ht="24.75" customHeight="1">
      <c r="A32" s="135" t="s">
        <v>726</v>
      </c>
      <c r="B32" s="135"/>
      <c r="C32" s="135"/>
      <c r="D32" s="135"/>
      <c r="E32" s="135"/>
      <c r="F32" s="135"/>
      <c r="G32" s="135"/>
      <c r="H32" s="135"/>
      <c r="I32" s="135"/>
    </row>
    <row r="34" spans="1:9" ht="10.199999999999999">
      <c r="A34" s="407" t="s">
        <v>704</v>
      </c>
      <c r="B34" s="407"/>
      <c r="C34" s="407"/>
      <c r="D34" s="407"/>
      <c r="E34" s="407"/>
      <c r="F34" s="407"/>
      <c r="G34" s="407"/>
      <c r="H34" s="407"/>
      <c r="I34" s="407"/>
    </row>
  </sheetData>
  <mergeCells count="2">
    <mergeCell ref="A1:I1"/>
    <mergeCell ref="A34:I3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K53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6" customWidth="1"/>
    <col min="2" max="7" width="12.7109375" customWidth="1"/>
    <col min="8" max="8" width="13.7109375" customWidth="1"/>
  </cols>
  <sheetData>
    <row r="1" spans="1:11">
      <c r="A1" s="1" t="s">
        <v>707</v>
      </c>
      <c r="B1" s="1"/>
      <c r="C1" s="1"/>
      <c r="D1" s="1"/>
      <c r="E1" s="1"/>
      <c r="F1" s="1"/>
      <c r="G1" s="1"/>
    </row>
    <row r="2" spans="1:11">
      <c r="B2" s="22"/>
      <c r="C2" s="1"/>
      <c r="H2" s="3"/>
    </row>
    <row r="3" spans="1:11">
      <c r="A3" s="1" t="s">
        <v>322</v>
      </c>
      <c r="B3" s="185" t="s">
        <v>438</v>
      </c>
      <c r="C3" s="185" t="s">
        <v>464</v>
      </c>
      <c r="D3" s="185" t="s">
        <v>496</v>
      </c>
      <c r="E3" s="185" t="s">
        <v>495</v>
      </c>
      <c r="F3" s="185" t="s">
        <v>655</v>
      </c>
      <c r="G3" s="185" t="s">
        <v>574</v>
      </c>
      <c r="H3" s="185" t="s">
        <v>656</v>
      </c>
    </row>
    <row r="4" spans="1:11">
      <c r="C4" s="285"/>
      <c r="D4" s="285" t="s">
        <v>241</v>
      </c>
      <c r="E4" s="285"/>
      <c r="F4" s="285"/>
      <c r="G4" s="157"/>
      <c r="H4" s="33"/>
      <c r="I4" s="33"/>
    </row>
    <row r="5" spans="1:11">
      <c r="A5" t="s">
        <v>66</v>
      </c>
    </row>
    <row r="6" spans="1:11">
      <c r="A6" t="s">
        <v>327</v>
      </c>
      <c r="B6" s="214">
        <v>5.7190000000000003</v>
      </c>
      <c r="C6" s="214">
        <v>5.4160000000000004</v>
      </c>
      <c r="D6" s="214">
        <v>5.4219999999999997</v>
      </c>
      <c r="E6" s="214">
        <v>5.3170000000000002</v>
      </c>
      <c r="F6" s="214">
        <v>5.5119999999999996</v>
      </c>
      <c r="G6" s="214">
        <v>5.734</v>
      </c>
      <c r="H6" s="214">
        <v>5.8289999999999997</v>
      </c>
    </row>
    <row r="7" spans="1:11">
      <c r="A7" t="s">
        <v>79</v>
      </c>
      <c r="B7" s="214">
        <v>46.365000000000002</v>
      </c>
      <c r="C7" s="214">
        <v>45.040999999999997</v>
      </c>
      <c r="D7" s="214">
        <v>44.395000000000003</v>
      </c>
      <c r="E7" s="214">
        <v>35.805</v>
      </c>
      <c r="F7" s="214">
        <v>39.082999999999998</v>
      </c>
      <c r="G7" s="214">
        <v>44.984000000000002</v>
      </c>
      <c r="H7" s="214">
        <v>43.45</v>
      </c>
    </row>
    <row r="8" spans="1:11">
      <c r="A8" t="s">
        <v>82</v>
      </c>
      <c r="B8" s="214">
        <v>15.054</v>
      </c>
      <c r="C8" s="214">
        <v>15.935</v>
      </c>
      <c r="D8" s="214">
        <v>16.559000000000001</v>
      </c>
      <c r="E8" s="214">
        <v>15.962999999999999</v>
      </c>
      <c r="F8" s="214">
        <v>17.352</v>
      </c>
      <c r="G8" s="214">
        <v>18.7</v>
      </c>
      <c r="H8" s="214">
        <v>19.448</v>
      </c>
    </row>
    <row r="9" spans="1:11">
      <c r="A9" t="s">
        <v>324</v>
      </c>
      <c r="B9" s="214">
        <v>40.890999999999998</v>
      </c>
      <c r="C9" s="214">
        <v>41.868000000000002</v>
      </c>
      <c r="D9" s="214">
        <v>40.451999999999998</v>
      </c>
      <c r="E9" s="214">
        <v>40.421999999999997</v>
      </c>
      <c r="F9" s="214">
        <v>44.156999999999996</v>
      </c>
      <c r="G9" s="214">
        <v>44.936</v>
      </c>
      <c r="H9" s="214">
        <v>41.863</v>
      </c>
    </row>
    <row r="10" spans="1:11">
      <c r="A10" t="s">
        <v>326</v>
      </c>
      <c r="B10" s="214">
        <v>64.061000000000007</v>
      </c>
      <c r="C10" s="214">
        <v>71.674999999999997</v>
      </c>
      <c r="D10" s="214">
        <v>71.453999999999994</v>
      </c>
      <c r="E10" s="214">
        <v>69.960999999999999</v>
      </c>
      <c r="F10" s="214">
        <v>69.432000000000002</v>
      </c>
      <c r="G10" s="214">
        <v>74</v>
      </c>
      <c r="H10" s="214">
        <v>70.906000000000006</v>
      </c>
    </row>
    <row r="11" spans="1:11">
      <c r="A11" t="s">
        <v>323</v>
      </c>
      <c r="B11" s="214">
        <v>268.46600000000001</v>
      </c>
      <c r="C11" s="214">
        <v>282.74900000000002</v>
      </c>
      <c r="D11" s="214">
        <v>320.017</v>
      </c>
      <c r="E11" s="214">
        <v>313.767</v>
      </c>
      <c r="F11" s="214">
        <v>349.30900000000003</v>
      </c>
      <c r="G11" s="214">
        <v>340.47199999999998</v>
      </c>
      <c r="H11" s="214">
        <v>360.07600000000002</v>
      </c>
    </row>
    <row r="12" spans="1:11">
      <c r="A12" t="s">
        <v>325</v>
      </c>
      <c r="B12" s="214">
        <v>35.015000000000001</v>
      </c>
      <c r="C12" s="214">
        <v>41.536999999999999</v>
      </c>
      <c r="D12" s="214">
        <v>39.247999999999998</v>
      </c>
      <c r="E12" s="214">
        <v>40.295999999999999</v>
      </c>
      <c r="F12" s="214">
        <v>48.008000000000003</v>
      </c>
      <c r="G12" s="214">
        <v>47.401000000000003</v>
      </c>
      <c r="H12" s="214">
        <v>51.46</v>
      </c>
    </row>
    <row r="13" spans="1:11">
      <c r="A13" t="s">
        <v>3</v>
      </c>
      <c r="B13" s="214">
        <f t="shared" ref="B13:H13" si="0">SUM(B6:B12)</f>
        <v>475.57100000000003</v>
      </c>
      <c r="C13" s="214">
        <f t="shared" si="0"/>
        <v>504.221</v>
      </c>
      <c r="D13" s="214">
        <f t="shared" si="0"/>
        <v>537.54700000000003</v>
      </c>
      <c r="E13" s="214">
        <f t="shared" si="0"/>
        <v>521.53100000000006</v>
      </c>
      <c r="F13" s="214">
        <f t="shared" si="0"/>
        <v>572.85300000000007</v>
      </c>
      <c r="G13" s="214">
        <f t="shared" si="0"/>
        <v>576.22699999999998</v>
      </c>
      <c r="H13" s="214">
        <f t="shared" si="0"/>
        <v>593.03200000000004</v>
      </c>
    </row>
    <row r="14" spans="1:11">
      <c r="A14" t="s">
        <v>88</v>
      </c>
      <c r="B14" s="214"/>
      <c r="C14" s="214"/>
      <c r="D14" s="214"/>
      <c r="E14" s="214"/>
      <c r="F14" s="214"/>
      <c r="G14" s="214"/>
      <c r="H14" s="78"/>
      <c r="I14" s="78"/>
      <c r="J14" s="78"/>
      <c r="K14" s="78"/>
    </row>
    <row r="15" spans="1:11">
      <c r="A15" t="s">
        <v>327</v>
      </c>
      <c r="B15" s="214">
        <v>4.2000000000000003E-2</v>
      </c>
      <c r="C15" s="214">
        <v>8.7999999999999995E-2</v>
      </c>
      <c r="D15" s="214">
        <v>9.7000000000000003E-2</v>
      </c>
      <c r="E15" s="214">
        <v>0.126</v>
      </c>
      <c r="F15" s="214">
        <v>0.111</v>
      </c>
      <c r="G15" s="214">
        <v>0.121</v>
      </c>
      <c r="H15" s="214">
        <v>0.104</v>
      </c>
    </row>
    <row r="16" spans="1:11">
      <c r="A16" t="s">
        <v>79</v>
      </c>
      <c r="B16" s="214">
        <v>0.93700000000000006</v>
      </c>
      <c r="C16" s="214">
        <v>0.78400000000000003</v>
      </c>
      <c r="D16" s="214">
        <v>0.67600000000000005</v>
      </c>
      <c r="E16" s="214">
        <v>0.68300000000000005</v>
      </c>
      <c r="F16" s="214">
        <v>0.97199999999999998</v>
      </c>
      <c r="G16" s="214">
        <v>0.76400000000000001</v>
      </c>
      <c r="H16" s="214">
        <v>0.73599999999999999</v>
      </c>
    </row>
    <row r="17" spans="1:8">
      <c r="A17" t="s">
        <v>82</v>
      </c>
      <c r="B17" s="214">
        <v>5.8000000000000003E-2</v>
      </c>
      <c r="C17" s="214">
        <v>6.4000000000000001E-2</v>
      </c>
      <c r="D17" s="214">
        <v>6.8000000000000005E-2</v>
      </c>
      <c r="E17" s="214">
        <v>5.7000000000000002E-2</v>
      </c>
      <c r="F17" s="214">
        <v>5.6000000000000001E-2</v>
      </c>
      <c r="G17" s="214">
        <v>7.0999999999999994E-2</v>
      </c>
      <c r="H17" s="214">
        <v>7.2999999999999995E-2</v>
      </c>
    </row>
    <row r="18" spans="1:8">
      <c r="A18" t="s">
        <v>324</v>
      </c>
      <c r="B18" s="214">
        <v>2.3580000000000001</v>
      </c>
      <c r="C18" s="214">
        <v>2.3889999999999998</v>
      </c>
      <c r="D18" s="214">
        <v>2.5169999999999999</v>
      </c>
      <c r="E18" s="214">
        <v>3.3069999999999999</v>
      </c>
      <c r="F18" s="214">
        <v>3.1219999999999999</v>
      </c>
      <c r="G18" s="214">
        <v>31.64</v>
      </c>
      <c r="H18" s="214">
        <v>3.306</v>
      </c>
    </row>
    <row r="19" spans="1:8">
      <c r="A19" t="s">
        <v>326</v>
      </c>
      <c r="B19" s="214">
        <v>12.831</v>
      </c>
      <c r="C19" s="214">
        <v>15.548999999999999</v>
      </c>
      <c r="D19" s="214">
        <v>14.318</v>
      </c>
      <c r="E19" s="214">
        <v>14.419</v>
      </c>
      <c r="F19" s="214">
        <v>15.510999999999999</v>
      </c>
      <c r="G19" s="214">
        <v>15.324</v>
      </c>
      <c r="H19" s="214">
        <v>16.634</v>
      </c>
    </row>
    <row r="20" spans="1:8">
      <c r="A20" t="s">
        <v>323</v>
      </c>
      <c r="B20" s="214">
        <v>97.194999999999993</v>
      </c>
      <c r="C20" s="214">
        <v>113.068</v>
      </c>
      <c r="D20" s="214">
        <v>124.36199999999999</v>
      </c>
      <c r="E20" s="214">
        <v>133.33000000000001</v>
      </c>
      <c r="F20" s="214">
        <v>144.21600000000001</v>
      </c>
      <c r="G20" s="214">
        <v>153.279</v>
      </c>
      <c r="H20" s="214">
        <v>151.215</v>
      </c>
    </row>
    <row r="21" spans="1:8">
      <c r="A21" t="s">
        <v>325</v>
      </c>
      <c r="B21" s="214">
        <v>1.3620000000000001</v>
      </c>
      <c r="C21" s="214">
        <v>1.6240000000000001</v>
      </c>
      <c r="D21" s="214">
        <v>1.5589999999999999</v>
      </c>
      <c r="E21" s="214">
        <v>1.865</v>
      </c>
      <c r="F21" s="214">
        <v>2.1720000000000002</v>
      </c>
      <c r="G21" s="214">
        <v>2.1549999999999998</v>
      </c>
      <c r="H21" s="214">
        <v>2.0550000000000002</v>
      </c>
    </row>
    <row r="22" spans="1:8">
      <c r="A22" t="s">
        <v>3</v>
      </c>
      <c r="B22" s="214">
        <f t="shared" ref="B22:H22" si="1">SUM(B15:B21)</f>
        <v>114.78299999999999</v>
      </c>
      <c r="C22" s="214">
        <f t="shared" si="1"/>
        <v>133.566</v>
      </c>
      <c r="D22" s="214">
        <f t="shared" si="1"/>
        <v>143.59699999999998</v>
      </c>
      <c r="E22" s="214">
        <f t="shared" si="1"/>
        <v>153.78700000000003</v>
      </c>
      <c r="F22" s="214">
        <f t="shared" si="1"/>
        <v>166.16</v>
      </c>
      <c r="G22" s="214">
        <f t="shared" si="1"/>
        <v>203.35400000000001</v>
      </c>
      <c r="H22" s="214">
        <f t="shared" si="1"/>
        <v>174.12300000000002</v>
      </c>
    </row>
    <row r="23" spans="1:8">
      <c r="A23" t="s">
        <v>90</v>
      </c>
      <c r="B23" s="214"/>
      <c r="C23" s="214"/>
      <c r="D23" s="214"/>
      <c r="E23" s="214"/>
      <c r="F23" s="214"/>
      <c r="G23" s="214"/>
    </row>
    <row r="24" spans="1:8">
      <c r="A24" t="s">
        <v>327</v>
      </c>
      <c r="B24" s="214">
        <v>7.3999999999999996E-2</v>
      </c>
      <c r="C24" s="214">
        <v>0.107</v>
      </c>
      <c r="D24" s="214">
        <v>0.109</v>
      </c>
      <c r="E24" s="214">
        <v>0.11</v>
      </c>
      <c r="F24" s="214">
        <v>0.17599999999999999</v>
      </c>
      <c r="G24" s="214">
        <v>0.122</v>
      </c>
      <c r="H24" s="214">
        <v>0.13500000000000001</v>
      </c>
    </row>
    <row r="25" spans="1:8">
      <c r="A25" t="s">
        <v>79</v>
      </c>
      <c r="B25" s="214">
        <v>0.95399999999999996</v>
      </c>
      <c r="C25" s="214">
        <v>0.94099999999999995</v>
      </c>
      <c r="D25" s="214">
        <v>0.71899999999999997</v>
      </c>
      <c r="E25" s="214">
        <v>0.69</v>
      </c>
      <c r="F25" s="214">
        <v>0.84299999999999997</v>
      </c>
      <c r="G25" s="214">
        <v>0.93899999999999995</v>
      </c>
      <c r="H25" s="214">
        <v>0.79900000000000004</v>
      </c>
    </row>
    <row r="26" spans="1:8">
      <c r="A26" t="s">
        <v>82</v>
      </c>
      <c r="B26" s="214">
        <v>4.2999999999999997E-2</v>
      </c>
      <c r="C26" s="214">
        <v>4.2000000000000003E-2</v>
      </c>
      <c r="D26" s="214">
        <v>4.2000000000000003E-2</v>
      </c>
      <c r="E26" s="214">
        <v>4.3999999999999997E-2</v>
      </c>
      <c r="F26" s="214">
        <v>7.9000000000000001E-2</v>
      </c>
      <c r="G26" s="214">
        <v>4.9000000000000002E-2</v>
      </c>
      <c r="H26" s="214">
        <v>5.2999999999999999E-2</v>
      </c>
    </row>
    <row r="27" spans="1:8">
      <c r="A27" t="s">
        <v>324</v>
      </c>
      <c r="B27" s="214">
        <v>2.6640000000000001</v>
      </c>
      <c r="C27" s="214">
        <v>2.9009999999999998</v>
      </c>
      <c r="D27" s="214">
        <v>3.3</v>
      </c>
      <c r="E27" s="214">
        <v>3.53</v>
      </c>
      <c r="F27" s="214">
        <v>3.7519999999999998</v>
      </c>
      <c r="G27" s="214">
        <v>3.5990000000000002</v>
      </c>
      <c r="H27" s="214">
        <v>3.5659999999999998</v>
      </c>
    </row>
    <row r="28" spans="1:8">
      <c r="A28" t="s">
        <v>326</v>
      </c>
      <c r="B28" s="214">
        <v>12.571999999999999</v>
      </c>
      <c r="C28" s="214">
        <v>15.099</v>
      </c>
      <c r="D28" s="214">
        <v>15.105</v>
      </c>
      <c r="E28" s="214">
        <v>14.347</v>
      </c>
      <c r="F28" s="214">
        <v>15.8</v>
      </c>
      <c r="G28" s="214">
        <v>16.13</v>
      </c>
      <c r="H28" s="214">
        <v>17.010999999999999</v>
      </c>
    </row>
    <row r="29" spans="1:8">
      <c r="A29" t="s">
        <v>323</v>
      </c>
      <c r="B29" s="214">
        <v>100.36199999999999</v>
      </c>
      <c r="C29" s="214">
        <v>112.72199999999999</v>
      </c>
      <c r="D29" s="214">
        <v>126.217</v>
      </c>
      <c r="E29" s="214">
        <v>132.55500000000001</v>
      </c>
      <c r="F29" s="214">
        <v>147.50299999999999</v>
      </c>
      <c r="G29" s="214">
        <v>152.959</v>
      </c>
      <c r="H29" s="214">
        <v>154.19999999999999</v>
      </c>
    </row>
    <row r="30" spans="1:8">
      <c r="A30" t="s">
        <v>325</v>
      </c>
      <c r="B30" s="214">
        <v>1.454</v>
      </c>
      <c r="C30" s="214">
        <v>1.956</v>
      </c>
      <c r="D30" s="214">
        <v>1.659</v>
      </c>
      <c r="E30" s="214">
        <v>2.0059999999999998</v>
      </c>
      <c r="F30" s="214">
        <v>2.4590000000000001</v>
      </c>
      <c r="G30" s="214">
        <v>2.504</v>
      </c>
      <c r="H30" s="214">
        <v>2.3980000000000001</v>
      </c>
    </row>
    <row r="31" spans="1:8">
      <c r="A31" t="s">
        <v>3</v>
      </c>
      <c r="B31" s="214">
        <f t="shared" ref="B31:H31" si="2">SUM(B24:B30)</f>
        <v>118.12299999999999</v>
      </c>
      <c r="C31" s="214">
        <f t="shared" si="2"/>
        <v>133.76799999999997</v>
      </c>
      <c r="D31" s="214">
        <f t="shared" si="2"/>
        <v>147.15099999999998</v>
      </c>
      <c r="E31" s="214">
        <f t="shared" si="2"/>
        <v>153.28200000000001</v>
      </c>
      <c r="F31" s="214">
        <f t="shared" si="2"/>
        <v>170.61199999999999</v>
      </c>
      <c r="G31" s="214">
        <f t="shared" si="2"/>
        <v>176.30199999999999</v>
      </c>
      <c r="H31" s="214">
        <f t="shared" si="2"/>
        <v>178.16199999999998</v>
      </c>
    </row>
    <row r="32" spans="1:8">
      <c r="A32" t="s">
        <v>373</v>
      </c>
      <c r="B32" s="214"/>
      <c r="C32" s="214"/>
      <c r="D32" s="214"/>
      <c r="E32" s="214"/>
      <c r="F32" s="214"/>
      <c r="G32" s="214"/>
    </row>
    <row r="33" spans="1:8">
      <c r="A33" t="s">
        <v>327</v>
      </c>
      <c r="B33" s="214">
        <v>5.8440000000000003</v>
      </c>
      <c r="C33" s="214">
        <v>5.4409999999999998</v>
      </c>
      <c r="D33" s="214">
        <v>5.423</v>
      </c>
      <c r="E33" s="214">
        <v>5.351</v>
      </c>
      <c r="F33" s="214">
        <v>5.4539999999999997</v>
      </c>
      <c r="G33" s="214">
        <v>5.7409999999999997</v>
      </c>
      <c r="H33" s="214">
        <v>5.8010000000000002</v>
      </c>
    </row>
    <row r="34" spans="1:8">
      <c r="A34" t="s">
        <v>79</v>
      </c>
      <c r="B34" s="214">
        <v>46.54</v>
      </c>
      <c r="C34" s="214">
        <v>44.954000000000001</v>
      </c>
      <c r="D34" s="214">
        <v>44.451000000000001</v>
      </c>
      <c r="E34" s="214">
        <v>36.555999999999997</v>
      </c>
      <c r="F34" s="214">
        <v>38.703000000000003</v>
      </c>
      <c r="G34" s="214">
        <v>44.344000000000001</v>
      </c>
      <c r="H34" s="214">
        <v>44.064999999999998</v>
      </c>
    </row>
    <row r="35" spans="1:8">
      <c r="A35" t="s">
        <v>82</v>
      </c>
      <c r="B35" s="214">
        <v>15.054</v>
      </c>
      <c r="C35" s="214">
        <v>15.961</v>
      </c>
      <c r="D35" s="214">
        <v>16.611999999999998</v>
      </c>
      <c r="E35" s="214">
        <v>16.004000000000001</v>
      </c>
      <c r="F35" s="214">
        <v>17.327000000000002</v>
      </c>
      <c r="G35" s="214">
        <v>18.748000000000001</v>
      </c>
      <c r="H35" s="214">
        <v>19.472999999999999</v>
      </c>
    </row>
    <row r="36" spans="1:8">
      <c r="A36" t="s">
        <v>324</v>
      </c>
      <c r="B36" s="214">
        <v>39.545999999999999</v>
      </c>
      <c r="C36" s="214">
        <v>40.841999999999999</v>
      </c>
      <c r="D36" s="214">
        <v>40.094999999999999</v>
      </c>
      <c r="E36" s="214">
        <v>40.890999999999998</v>
      </c>
      <c r="F36" s="214">
        <v>43.320999999999998</v>
      </c>
      <c r="G36" s="214">
        <v>44.338000000000001</v>
      </c>
      <c r="H36" s="214">
        <v>42.774000000000001</v>
      </c>
    </row>
    <row r="37" spans="1:8">
      <c r="A37" t="s">
        <v>326</v>
      </c>
      <c r="B37" s="214">
        <v>65.688000000000002</v>
      </c>
      <c r="C37" s="214">
        <v>69.472999999999999</v>
      </c>
      <c r="D37" s="214">
        <v>70.623999999999995</v>
      </c>
      <c r="E37" s="214">
        <v>70.995000000000005</v>
      </c>
      <c r="F37" s="214">
        <v>70.320999999999998</v>
      </c>
      <c r="G37" s="214">
        <v>71.069999999999993</v>
      </c>
      <c r="H37" s="214">
        <v>71.19</v>
      </c>
    </row>
    <row r="38" spans="1:8">
      <c r="A38" t="s">
        <v>323</v>
      </c>
      <c r="B38" s="214">
        <v>263.096</v>
      </c>
      <c r="C38" s="214">
        <v>276.58800000000002</v>
      </c>
      <c r="D38" s="214">
        <v>302.68900000000002</v>
      </c>
      <c r="E38" s="214">
        <v>314.14800000000002</v>
      </c>
      <c r="F38" s="214">
        <v>330.61099999999999</v>
      </c>
      <c r="G38" s="214">
        <v>33.804699999999997</v>
      </c>
      <c r="H38" s="214">
        <v>348.488</v>
      </c>
    </row>
    <row r="39" spans="1:8">
      <c r="A39" t="s">
        <v>325</v>
      </c>
      <c r="B39" s="214">
        <v>34.671999999999997</v>
      </c>
      <c r="C39" s="214">
        <v>40.877000000000002</v>
      </c>
      <c r="D39" s="214">
        <v>39.392000000000003</v>
      </c>
      <c r="E39" s="214">
        <v>40.655000000000001</v>
      </c>
      <c r="F39" s="214">
        <v>47.040999999999997</v>
      </c>
      <c r="G39" s="214">
        <v>47.323</v>
      </c>
      <c r="H39" s="214">
        <v>50.256999999999998</v>
      </c>
    </row>
    <row r="40" spans="1:8">
      <c r="A40" t="s">
        <v>3</v>
      </c>
      <c r="B40" s="214">
        <f t="shared" ref="B40:H40" si="3">SUM(B33:B39)</f>
        <v>470.44000000000005</v>
      </c>
      <c r="C40" s="214">
        <f t="shared" si="3"/>
        <v>494.13600000000002</v>
      </c>
      <c r="D40" s="214">
        <f t="shared" si="3"/>
        <v>519.28600000000006</v>
      </c>
      <c r="E40" s="214">
        <f t="shared" si="3"/>
        <v>524.6</v>
      </c>
      <c r="F40" s="214">
        <f t="shared" si="3"/>
        <v>552.77800000000002</v>
      </c>
      <c r="G40" s="214">
        <f t="shared" si="3"/>
        <v>265.36869999999999</v>
      </c>
      <c r="H40" s="214">
        <f t="shared" si="3"/>
        <v>582.04799999999989</v>
      </c>
    </row>
    <row r="41" spans="1:8">
      <c r="A41" t="s">
        <v>197</v>
      </c>
      <c r="B41" s="214"/>
      <c r="C41" s="214"/>
      <c r="D41" s="214"/>
      <c r="E41" s="214"/>
      <c r="F41" s="214"/>
      <c r="G41" s="214"/>
    </row>
    <row r="42" spans="1:8">
      <c r="A42" t="s">
        <v>327</v>
      </c>
      <c r="B42" s="214">
        <v>0.159</v>
      </c>
      <c r="C42" s="214">
        <v>0.115</v>
      </c>
      <c r="D42" s="214">
        <v>0.10199999999999999</v>
      </c>
      <c r="E42" s="214">
        <v>8.4000000000000005E-2</v>
      </c>
      <c r="F42" s="214">
        <v>7.3999999999999996E-2</v>
      </c>
      <c r="G42" s="214">
        <v>6.6000000000000003E-2</v>
      </c>
      <c r="H42" s="214">
        <v>6.3E-2</v>
      </c>
    </row>
    <row r="43" spans="1:8">
      <c r="A43" t="s">
        <v>79</v>
      </c>
      <c r="B43" s="214">
        <v>1.849</v>
      </c>
      <c r="C43" s="214">
        <v>1.7789999999999999</v>
      </c>
      <c r="D43" s="214">
        <v>1.68</v>
      </c>
      <c r="E43" s="214">
        <v>0.92200000000000004</v>
      </c>
      <c r="F43" s="214">
        <v>1.3879999999999999</v>
      </c>
      <c r="G43" s="214">
        <v>1.853</v>
      </c>
      <c r="H43" s="214">
        <v>1.175</v>
      </c>
    </row>
    <row r="44" spans="1:8">
      <c r="A44" t="s">
        <v>82</v>
      </c>
      <c r="B44" s="214">
        <v>0.29399999999999998</v>
      </c>
      <c r="C44" s="214">
        <v>0.28999999999999998</v>
      </c>
      <c r="D44" s="214">
        <v>0.26300000000000001</v>
      </c>
      <c r="E44" s="214">
        <v>0.23499999999999999</v>
      </c>
      <c r="F44" s="214">
        <v>0.23799999999999999</v>
      </c>
      <c r="G44" s="214">
        <v>0.21199999999999999</v>
      </c>
      <c r="H44" s="214">
        <v>0.20699999999999999</v>
      </c>
    </row>
    <row r="45" spans="1:8">
      <c r="A45" t="s">
        <v>324</v>
      </c>
      <c r="B45" s="214">
        <v>3.1920000000000002</v>
      </c>
      <c r="C45" s="214">
        <v>3.706</v>
      </c>
      <c r="D45" s="214">
        <v>3.28</v>
      </c>
      <c r="E45" s="214">
        <v>2.5880000000000001</v>
      </c>
      <c r="F45" s="214">
        <v>3.7320000000000002</v>
      </c>
      <c r="G45" s="214">
        <v>3.895</v>
      </c>
      <c r="H45" s="214">
        <v>2.7240000000000002</v>
      </c>
    </row>
    <row r="46" spans="1:8">
      <c r="A46" t="s">
        <v>326</v>
      </c>
      <c r="B46" s="214">
        <v>4.843</v>
      </c>
      <c r="C46" s="214">
        <v>7.4950000000000001</v>
      </c>
      <c r="D46" s="214">
        <v>7.5380000000000003</v>
      </c>
      <c r="E46" s="214">
        <v>6.5759999999999996</v>
      </c>
      <c r="F46" s="214">
        <v>4.9930000000000003</v>
      </c>
      <c r="G46" s="214">
        <v>7.117</v>
      </c>
      <c r="H46" s="214">
        <v>6.4560000000000004</v>
      </c>
    </row>
    <row r="47" spans="1:8">
      <c r="A47" t="s">
        <v>323</v>
      </c>
      <c r="B47" s="214">
        <v>55.91</v>
      </c>
      <c r="C47" s="214">
        <v>62.417000000000002</v>
      </c>
      <c r="D47" s="214">
        <v>77.89</v>
      </c>
      <c r="E47" s="214">
        <v>78.284000000000006</v>
      </c>
      <c r="F47" s="214">
        <v>95.816999999999993</v>
      </c>
      <c r="G47" s="214">
        <v>98.561999999999998</v>
      </c>
      <c r="H47" s="214">
        <v>107.16500000000001</v>
      </c>
    </row>
    <row r="48" spans="1:8">
      <c r="A48" t="s">
        <v>325</v>
      </c>
      <c r="B48" s="214">
        <v>2.6960000000000002</v>
      </c>
      <c r="C48" s="214">
        <v>3.024</v>
      </c>
      <c r="D48" s="214">
        <v>2.78</v>
      </c>
      <c r="E48" s="214">
        <v>2.2799999999999998</v>
      </c>
      <c r="F48" s="214">
        <v>3.3340000000000001</v>
      </c>
      <c r="G48" s="214">
        <v>3.0630000000000002</v>
      </c>
      <c r="H48" s="214">
        <v>3.923</v>
      </c>
    </row>
    <row r="49" spans="1:8">
      <c r="A49" s="1" t="s">
        <v>3</v>
      </c>
      <c r="B49" s="202">
        <f t="shared" ref="B49:H49" si="4">SUM(B42:B48)</f>
        <v>68.942999999999998</v>
      </c>
      <c r="C49" s="202">
        <f t="shared" si="4"/>
        <v>78.826000000000008</v>
      </c>
      <c r="D49" s="202">
        <f t="shared" si="4"/>
        <v>93.533000000000001</v>
      </c>
      <c r="E49" s="202">
        <f t="shared" si="4"/>
        <v>90.969000000000008</v>
      </c>
      <c r="F49" s="202">
        <f t="shared" si="4"/>
        <v>109.57599999999999</v>
      </c>
      <c r="G49" s="202">
        <f t="shared" si="4"/>
        <v>114.768</v>
      </c>
      <c r="H49" s="202">
        <f t="shared" si="4"/>
        <v>121.71300000000001</v>
      </c>
    </row>
    <row r="50" spans="1:8" ht="13.2" customHeight="1">
      <c r="A50" s="107" t="s">
        <v>374</v>
      </c>
    </row>
    <row r="51" spans="1:8" ht="13.2" customHeight="1">
      <c r="A51" s="107" t="s">
        <v>540</v>
      </c>
    </row>
    <row r="52" spans="1:8" ht="10.199999999999999" customHeight="1">
      <c r="A52" s="107" t="s">
        <v>541</v>
      </c>
      <c r="F52" s="278"/>
      <c r="G52" s="278" t="s">
        <v>577</v>
      </c>
      <c r="H52" s="145"/>
    </row>
    <row r="53" spans="1:8" ht="10.199999999999999" customHeight="1">
      <c r="F53" s="161"/>
      <c r="G53" s="161"/>
      <c r="H53" s="161"/>
    </row>
  </sheetData>
  <phoneticPr fontId="0" type="noConversion"/>
  <pageMargins left="0.7" right="0.7" top="0.75" bottom="0.75" header="0.3" footer="0.3"/>
  <pageSetup scale="10" firstPageNumber="79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I62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5.7109375" customWidth="1"/>
    <col min="2" max="7" width="12.7109375" customWidth="1"/>
    <col min="8" max="8" width="12.7109375" style="33" customWidth="1"/>
    <col min="9" max="9" width="9.28515625" style="33" customWidth="1"/>
  </cols>
  <sheetData>
    <row r="1" spans="1:8">
      <c r="A1" s="114" t="s">
        <v>708</v>
      </c>
      <c r="B1" s="1"/>
      <c r="C1" s="1"/>
    </row>
    <row r="2" spans="1:8">
      <c r="A2" s="38"/>
      <c r="B2" s="22"/>
      <c r="C2" s="22"/>
      <c r="D2" s="3"/>
      <c r="E2" s="3"/>
      <c r="F2" s="3"/>
      <c r="G2" s="3"/>
      <c r="H2" s="3"/>
    </row>
    <row r="3" spans="1:8">
      <c r="A3" s="1" t="s">
        <v>322</v>
      </c>
      <c r="B3" s="185" t="s">
        <v>438</v>
      </c>
      <c r="C3" s="185" t="s">
        <v>464</v>
      </c>
      <c r="D3" s="185" t="s">
        <v>496</v>
      </c>
      <c r="E3" s="185" t="s">
        <v>495</v>
      </c>
      <c r="F3" s="185" t="s">
        <v>575</v>
      </c>
      <c r="G3" s="185" t="s">
        <v>573</v>
      </c>
      <c r="H3" s="185" t="s">
        <v>656</v>
      </c>
    </row>
    <row r="4" spans="1:8">
      <c r="C4" s="285"/>
      <c r="D4" s="285" t="s">
        <v>241</v>
      </c>
      <c r="E4" s="285"/>
      <c r="F4" s="285"/>
      <c r="G4" s="157"/>
    </row>
    <row r="5" spans="1:8">
      <c r="A5" t="s">
        <v>66</v>
      </c>
    </row>
    <row r="6" spans="1:8">
      <c r="A6" t="s">
        <v>77</v>
      </c>
      <c r="B6" s="214">
        <v>3.62</v>
      </c>
      <c r="C6" s="214">
        <v>3.3820000000000001</v>
      </c>
      <c r="D6" s="214">
        <v>3.3719999999999999</v>
      </c>
      <c r="E6" s="214">
        <v>3.3220000000000001</v>
      </c>
      <c r="F6" s="214">
        <v>3.4089999999999998</v>
      </c>
      <c r="G6" s="214">
        <v>3.5870000000000002</v>
      </c>
      <c r="H6" s="33">
        <v>3.6309999999999998</v>
      </c>
    </row>
    <row r="7" spans="1:8">
      <c r="A7" t="s">
        <v>79</v>
      </c>
      <c r="B7" s="214">
        <v>5.2110000000000003</v>
      </c>
      <c r="C7" s="214">
        <v>5.16</v>
      </c>
      <c r="D7" s="214">
        <v>5.1180000000000003</v>
      </c>
      <c r="E7" s="214">
        <v>4.2910000000000004</v>
      </c>
      <c r="F7" s="214">
        <v>4.4219999999999997</v>
      </c>
      <c r="G7" s="214">
        <v>5.157</v>
      </c>
      <c r="H7" s="33">
        <v>5.2</v>
      </c>
    </row>
    <row r="8" spans="1:8">
      <c r="A8" t="s">
        <v>334</v>
      </c>
      <c r="B8" s="214">
        <v>2.5049999999999999</v>
      </c>
      <c r="C8" s="214">
        <v>3.1960000000000002</v>
      </c>
      <c r="D8" s="214">
        <v>2.4020000000000001</v>
      </c>
      <c r="E8" s="214">
        <v>3.1179999999999999</v>
      </c>
      <c r="F8" s="214">
        <v>2.4820000000000002</v>
      </c>
      <c r="G8" s="214">
        <v>3.2549999999999999</v>
      </c>
      <c r="H8" s="33">
        <v>3.0960000000000001</v>
      </c>
    </row>
    <row r="9" spans="1:8">
      <c r="A9" t="s">
        <v>81</v>
      </c>
      <c r="B9" s="214">
        <v>56.43</v>
      </c>
      <c r="C9" s="214">
        <v>59.362000000000002</v>
      </c>
      <c r="D9" s="214">
        <v>61.872</v>
      </c>
      <c r="E9" s="214">
        <v>58.902000000000001</v>
      </c>
      <c r="F9" s="214">
        <v>65.274000000000001</v>
      </c>
      <c r="G9" s="214">
        <v>70.456999999999994</v>
      </c>
      <c r="H9" s="33">
        <v>73.486000000000004</v>
      </c>
    </row>
    <row r="10" spans="1:8">
      <c r="A10" t="s">
        <v>335</v>
      </c>
      <c r="B10" s="214">
        <v>6.6639999999999997</v>
      </c>
      <c r="C10" s="214">
        <v>7.0709999999999997</v>
      </c>
      <c r="D10" s="214">
        <v>7.3140000000000001</v>
      </c>
      <c r="E10" s="214">
        <v>7.0069999999999997</v>
      </c>
      <c r="F10" s="214">
        <v>7.6210000000000004</v>
      </c>
      <c r="G10" s="214">
        <v>8.3190000000000008</v>
      </c>
      <c r="H10" s="33">
        <v>8.5679999999999996</v>
      </c>
    </row>
    <row r="11" spans="1:8">
      <c r="A11" t="s">
        <v>89</v>
      </c>
      <c r="B11" s="214">
        <v>5.3979999999999997</v>
      </c>
      <c r="C11" s="214">
        <v>5.7240000000000002</v>
      </c>
      <c r="D11" s="214">
        <v>5.4269999999999996</v>
      </c>
      <c r="E11" s="214">
        <v>5.4420000000000002</v>
      </c>
      <c r="F11" s="214">
        <v>5.766</v>
      </c>
      <c r="G11" s="214">
        <v>5.9480000000000004</v>
      </c>
      <c r="H11" s="33">
        <v>5.5670000000000002</v>
      </c>
    </row>
    <row r="12" spans="1:8">
      <c r="A12" t="s">
        <v>326</v>
      </c>
      <c r="B12" s="214">
        <v>25.69</v>
      </c>
      <c r="C12" s="214">
        <v>27.276</v>
      </c>
      <c r="D12" s="214">
        <v>27.617000000000001</v>
      </c>
      <c r="E12" s="214">
        <v>27.863</v>
      </c>
      <c r="F12" s="214">
        <v>27.536999999999999</v>
      </c>
      <c r="G12" s="214">
        <v>27.856999999999999</v>
      </c>
      <c r="H12" s="33">
        <v>27.962</v>
      </c>
    </row>
    <row r="13" spans="1:8">
      <c r="A13" t="s">
        <v>84</v>
      </c>
      <c r="B13" s="214">
        <v>43.329000000000001</v>
      </c>
      <c r="C13" s="214">
        <v>45.241</v>
      </c>
      <c r="D13" s="214">
        <v>49.323999999999998</v>
      </c>
      <c r="E13" s="214">
        <v>51.601999999999997</v>
      </c>
      <c r="F13" s="214">
        <v>53.72</v>
      </c>
      <c r="G13" s="214">
        <v>55.164999999999999</v>
      </c>
      <c r="H13" s="33">
        <v>56.973999999999997</v>
      </c>
    </row>
    <row r="14" spans="1:8">
      <c r="A14" t="s">
        <v>325</v>
      </c>
      <c r="B14" s="214">
        <v>12.869</v>
      </c>
      <c r="C14" s="214">
        <v>15.45</v>
      </c>
      <c r="D14" s="214">
        <v>14.917</v>
      </c>
      <c r="E14" s="214">
        <v>15.377000000000001</v>
      </c>
      <c r="F14" s="214">
        <v>18.177</v>
      </c>
      <c r="G14" s="214">
        <v>18.228999999999999</v>
      </c>
      <c r="H14" s="33">
        <v>19.449000000000002</v>
      </c>
    </row>
    <row r="15" spans="1:8">
      <c r="A15" t="s">
        <v>3</v>
      </c>
      <c r="B15" s="214">
        <f t="shared" ref="B15:H15" si="0">SUM(B6:B14)</f>
        <v>161.71599999999998</v>
      </c>
      <c r="C15" s="214">
        <f t="shared" si="0"/>
        <v>171.86199999999997</v>
      </c>
      <c r="D15" s="214">
        <f t="shared" si="0"/>
        <v>177.363</v>
      </c>
      <c r="E15" s="214">
        <f t="shared" si="0"/>
        <v>176.92400000000001</v>
      </c>
      <c r="F15" s="214">
        <f t="shared" si="0"/>
        <v>188.40799999999999</v>
      </c>
      <c r="G15" s="214">
        <f t="shared" si="0"/>
        <v>197.97399999999999</v>
      </c>
      <c r="H15" s="214">
        <f t="shared" si="0"/>
        <v>203.93300000000002</v>
      </c>
    </row>
    <row r="16" spans="1:8">
      <c r="A16" t="s">
        <v>88</v>
      </c>
      <c r="B16" s="214"/>
      <c r="C16" s="214"/>
      <c r="D16" s="214"/>
      <c r="E16" s="214"/>
      <c r="F16" s="214"/>
      <c r="G16" s="214"/>
    </row>
    <row r="17" spans="1:8">
      <c r="A17" t="s">
        <v>77</v>
      </c>
      <c r="B17" s="214">
        <v>1.8939999999999999</v>
      </c>
      <c r="C17" s="214">
        <v>1.736</v>
      </c>
      <c r="D17" s="214">
        <v>1.823</v>
      </c>
      <c r="E17" s="214">
        <v>1.583</v>
      </c>
      <c r="F17" s="214">
        <v>1.506</v>
      </c>
      <c r="G17" s="214">
        <v>1.64</v>
      </c>
      <c r="H17" s="33">
        <v>1.5960000000000001</v>
      </c>
    </row>
    <row r="18" spans="1:8">
      <c r="A18" t="s">
        <v>79</v>
      </c>
      <c r="B18" s="214">
        <v>8.1000000000000003E-2</v>
      </c>
      <c r="C18" s="214">
        <v>8.2000000000000003E-2</v>
      </c>
      <c r="D18" s="214">
        <v>7.3999999999999996E-2</v>
      </c>
      <c r="E18" s="214">
        <v>5.2999999999999999E-2</v>
      </c>
      <c r="F18" s="214">
        <v>4.5999999999999999E-2</v>
      </c>
      <c r="G18" s="214">
        <v>6.3E-2</v>
      </c>
      <c r="H18" s="33">
        <v>5.0999999999999997E-2</v>
      </c>
    </row>
    <row r="19" spans="1:8">
      <c r="A19" t="s">
        <v>334</v>
      </c>
      <c r="B19" s="214">
        <v>0.82599999999999996</v>
      </c>
      <c r="C19" s="214">
        <v>0.73799999999999999</v>
      </c>
      <c r="D19" s="214">
        <v>0.90100000000000002</v>
      </c>
      <c r="E19" s="214">
        <v>0.78900000000000003</v>
      </c>
      <c r="F19" s="214">
        <v>0.78900000000000003</v>
      </c>
      <c r="G19" s="214">
        <v>0.91600000000000004</v>
      </c>
      <c r="H19" s="33">
        <v>0.88600000000000001</v>
      </c>
    </row>
    <row r="20" spans="1:8">
      <c r="A20" t="s">
        <v>81</v>
      </c>
      <c r="B20" s="214">
        <v>42.104999999999997</v>
      </c>
      <c r="C20" s="214">
        <v>41.942</v>
      </c>
      <c r="D20" s="214">
        <v>44.84</v>
      </c>
      <c r="E20" s="214">
        <v>42.55</v>
      </c>
      <c r="F20" s="214">
        <v>45.856999999999999</v>
      </c>
      <c r="G20" s="214">
        <v>46.332999999999998</v>
      </c>
      <c r="H20" s="33">
        <v>49.878999999999998</v>
      </c>
    </row>
    <row r="21" spans="1:8">
      <c r="A21" t="s">
        <v>82</v>
      </c>
      <c r="B21" s="214">
        <v>2.8610000000000002</v>
      </c>
      <c r="C21" s="214">
        <v>2.5019999999999998</v>
      </c>
      <c r="D21" s="214">
        <v>3.0550000000000002</v>
      </c>
      <c r="E21" s="214">
        <v>2.633</v>
      </c>
      <c r="F21" s="214">
        <v>2.6890000000000001</v>
      </c>
      <c r="G21" s="214">
        <v>2.7770000000000001</v>
      </c>
      <c r="H21" s="33">
        <v>2.8260000000000001</v>
      </c>
    </row>
    <row r="22" spans="1:8">
      <c r="A22" t="s">
        <v>89</v>
      </c>
      <c r="B22" s="214">
        <v>0.161</v>
      </c>
      <c r="C22" s="214">
        <v>0.19</v>
      </c>
      <c r="D22" s="214">
        <v>0.248</v>
      </c>
      <c r="E22" s="214">
        <v>0.24</v>
      </c>
      <c r="F22" s="214">
        <v>0.22500000000000001</v>
      </c>
      <c r="G22" s="214">
        <v>0.23699999999999999</v>
      </c>
      <c r="H22" s="33">
        <v>0.23</v>
      </c>
    </row>
    <row r="23" spans="1:8">
      <c r="A23" t="s">
        <v>326</v>
      </c>
      <c r="B23" s="214">
        <v>3.9329999999999998</v>
      </c>
      <c r="C23" s="214">
        <v>3.8170000000000002</v>
      </c>
      <c r="D23" s="214">
        <v>3.9489999999999998</v>
      </c>
      <c r="E23" s="214">
        <v>4.1340000000000003</v>
      </c>
      <c r="F23" s="214">
        <v>4.3899999999999997</v>
      </c>
      <c r="G23" s="214">
        <v>4.4909999999999997</v>
      </c>
      <c r="H23" s="33">
        <v>4.9370000000000003</v>
      </c>
    </row>
    <row r="24" spans="1:8">
      <c r="A24" t="s">
        <v>84</v>
      </c>
      <c r="B24" s="214">
        <v>8.5</v>
      </c>
      <c r="C24" s="214">
        <v>9.2560000000000002</v>
      </c>
      <c r="D24" s="214">
        <v>10.039</v>
      </c>
      <c r="E24" s="214">
        <v>11.64</v>
      </c>
      <c r="F24" s="214">
        <v>10.965</v>
      </c>
      <c r="G24" s="214">
        <v>9.7149999999999999</v>
      </c>
      <c r="H24" s="33">
        <v>10.683999999999999</v>
      </c>
    </row>
    <row r="25" spans="1:8">
      <c r="A25" t="s">
        <v>325</v>
      </c>
      <c r="B25" s="214">
        <v>5.1630000000000003</v>
      </c>
      <c r="C25" s="214">
        <v>6.9690000000000003</v>
      </c>
      <c r="D25" s="214">
        <v>6.1790000000000003</v>
      </c>
      <c r="E25" s="214">
        <v>6.9980000000000002</v>
      </c>
      <c r="F25" s="214">
        <v>8.8970000000000002</v>
      </c>
      <c r="G25" s="214">
        <v>8.4960000000000004</v>
      </c>
      <c r="H25" s="33">
        <v>8.4589999999999996</v>
      </c>
    </row>
    <row r="26" spans="1:8">
      <c r="A26" t="s">
        <v>3</v>
      </c>
      <c r="B26" s="214">
        <f t="shared" ref="B26:H26" si="1">SUM(B17:B25)</f>
        <v>65.524000000000001</v>
      </c>
      <c r="C26" s="214">
        <f t="shared" si="1"/>
        <v>67.231999999999999</v>
      </c>
      <c r="D26" s="214">
        <f t="shared" si="1"/>
        <v>71.108000000000004</v>
      </c>
      <c r="E26" s="214">
        <f t="shared" si="1"/>
        <v>70.62</v>
      </c>
      <c r="F26" s="214">
        <f t="shared" si="1"/>
        <v>75.364000000000004</v>
      </c>
      <c r="G26" s="214">
        <f t="shared" si="1"/>
        <v>74.667999999999992</v>
      </c>
      <c r="H26" s="214">
        <f t="shared" si="1"/>
        <v>79.548000000000002</v>
      </c>
    </row>
    <row r="27" spans="1:8">
      <c r="A27" t="s">
        <v>90</v>
      </c>
      <c r="B27" s="214"/>
      <c r="C27" s="214"/>
      <c r="D27" s="214"/>
      <c r="E27" s="214"/>
      <c r="F27" s="214"/>
      <c r="G27" s="214"/>
    </row>
    <row r="28" spans="1:8">
      <c r="A28" t="s">
        <v>77</v>
      </c>
      <c r="B28" s="214">
        <v>1.921</v>
      </c>
      <c r="C28" s="214">
        <v>1.911</v>
      </c>
      <c r="D28" s="214">
        <v>1.94</v>
      </c>
      <c r="E28" s="214">
        <v>1.5549999999999999</v>
      </c>
      <c r="F28" s="214">
        <v>1.8959999999999999</v>
      </c>
      <c r="G28" s="214">
        <v>1.5960000000000001</v>
      </c>
      <c r="H28" s="33">
        <v>1.69</v>
      </c>
    </row>
    <row r="29" spans="1:8">
      <c r="A29" t="s">
        <v>79</v>
      </c>
      <c r="B29" s="214">
        <v>0.155</v>
      </c>
      <c r="C29" s="214">
        <v>0.14000000000000001</v>
      </c>
      <c r="D29" s="214">
        <v>0.14000000000000001</v>
      </c>
      <c r="E29" s="214">
        <v>6.3E-2</v>
      </c>
      <c r="F29" s="214">
        <v>7.1999999999999995E-2</v>
      </c>
      <c r="G29" s="214">
        <v>8.5999999999999993E-2</v>
      </c>
      <c r="H29" s="33">
        <v>9.0999999999999998E-2</v>
      </c>
    </row>
    <row r="30" spans="1:8">
      <c r="A30" t="s">
        <v>334</v>
      </c>
      <c r="B30" s="214">
        <v>0.90600000000000003</v>
      </c>
      <c r="C30" s="214">
        <v>0.86</v>
      </c>
      <c r="D30" s="214">
        <v>0.999</v>
      </c>
      <c r="E30" s="214">
        <v>0.89</v>
      </c>
      <c r="F30" s="214">
        <v>0.88</v>
      </c>
      <c r="G30" s="214">
        <v>1.02</v>
      </c>
      <c r="H30" s="33">
        <v>0.96799999999999997</v>
      </c>
    </row>
    <row r="31" spans="1:8">
      <c r="A31" t="s">
        <v>81</v>
      </c>
      <c r="B31" s="214">
        <v>43.05</v>
      </c>
      <c r="C31" s="214">
        <v>43.194000000000003</v>
      </c>
      <c r="D31" s="214">
        <v>47.37</v>
      </c>
      <c r="E31" s="214">
        <v>43.734000000000002</v>
      </c>
      <c r="F31" s="214">
        <v>48.871000000000002</v>
      </c>
      <c r="G31" s="214">
        <v>48.506</v>
      </c>
      <c r="H31" s="33">
        <v>52.033000000000001</v>
      </c>
    </row>
    <row r="32" spans="1:8">
      <c r="A32" t="s">
        <v>82</v>
      </c>
      <c r="B32" s="214">
        <v>3.2570000000000001</v>
      </c>
      <c r="C32" s="214">
        <v>2.8809999999999998</v>
      </c>
      <c r="D32" s="214">
        <v>3.2290000000000001</v>
      </c>
      <c r="E32" s="214">
        <v>3.0150000000000001</v>
      </c>
      <c r="F32" s="214">
        <v>3.0840000000000001</v>
      </c>
      <c r="G32" s="214">
        <v>3.1920000000000002</v>
      </c>
      <c r="H32" s="33">
        <v>3.2730000000000001</v>
      </c>
    </row>
    <row r="33" spans="1:8">
      <c r="A33" t="s">
        <v>89</v>
      </c>
      <c r="B33" s="214">
        <v>0.18099999999999999</v>
      </c>
      <c r="C33" s="214">
        <v>0.222</v>
      </c>
      <c r="D33" s="214">
        <v>0.26</v>
      </c>
      <c r="E33" s="214">
        <v>0.25900000000000001</v>
      </c>
      <c r="F33" s="214">
        <v>0.26500000000000001</v>
      </c>
      <c r="G33" s="214">
        <v>0.28699999999999998</v>
      </c>
      <c r="H33" s="33">
        <v>0.28100000000000003</v>
      </c>
    </row>
    <row r="34" spans="1:8">
      <c r="A34" t="s">
        <v>326</v>
      </c>
      <c r="B34" s="214">
        <v>3.952</v>
      </c>
      <c r="C34" s="214">
        <v>3.8279999999999998</v>
      </c>
      <c r="D34" s="214">
        <v>4.0650000000000004</v>
      </c>
      <c r="E34" s="214">
        <v>4.1689999999999996</v>
      </c>
      <c r="F34" s="214">
        <v>4.5220000000000002</v>
      </c>
      <c r="G34" s="214">
        <v>4.5990000000000002</v>
      </c>
      <c r="H34" s="33">
        <v>5.0410000000000004</v>
      </c>
    </row>
    <row r="35" spans="1:8">
      <c r="A35" t="s">
        <v>84</v>
      </c>
      <c r="B35" s="214">
        <v>9.3290000000000006</v>
      </c>
      <c r="C35" s="214">
        <v>9.4220000000000006</v>
      </c>
      <c r="D35" s="214">
        <v>11.115</v>
      </c>
      <c r="E35" s="214">
        <v>11.769</v>
      </c>
      <c r="F35" s="214">
        <v>11.236000000000001</v>
      </c>
      <c r="G35" s="214">
        <v>10.491</v>
      </c>
      <c r="H35" s="33">
        <v>11.334</v>
      </c>
    </row>
    <row r="36" spans="1:8">
      <c r="A36" t="s">
        <v>325</v>
      </c>
      <c r="B36" s="214">
        <v>5.5659999999999998</v>
      </c>
      <c r="C36" s="214">
        <v>7.7839999999999998</v>
      </c>
      <c r="D36" s="214">
        <v>7.383</v>
      </c>
      <c r="E36" s="214">
        <v>8.109</v>
      </c>
      <c r="F36" s="214">
        <v>10.406000000000001</v>
      </c>
      <c r="G36" s="214">
        <v>9.7349999999999994</v>
      </c>
      <c r="H36" s="33">
        <v>9.9589999999999996</v>
      </c>
    </row>
    <row r="37" spans="1:8">
      <c r="A37" t="s">
        <v>3</v>
      </c>
      <c r="B37" s="214">
        <f t="shared" ref="B37:H37" si="2">SUM(B28:B36)</f>
        <v>68.316999999999993</v>
      </c>
      <c r="C37" s="214">
        <f t="shared" si="2"/>
        <v>70.242000000000019</v>
      </c>
      <c r="D37" s="214">
        <f t="shared" si="2"/>
        <v>76.500999999999991</v>
      </c>
      <c r="E37" s="214">
        <f t="shared" si="2"/>
        <v>73.563000000000002</v>
      </c>
      <c r="F37" s="214">
        <f t="shared" si="2"/>
        <v>81.232000000000014</v>
      </c>
      <c r="G37" s="214">
        <f t="shared" si="2"/>
        <v>79.512</v>
      </c>
      <c r="H37" s="214">
        <f t="shared" si="2"/>
        <v>84.670000000000016</v>
      </c>
    </row>
    <row r="38" spans="1:8">
      <c r="A38" t="s">
        <v>373</v>
      </c>
      <c r="B38" s="214"/>
      <c r="C38" s="214"/>
      <c r="D38" s="214"/>
      <c r="E38" s="214"/>
      <c r="F38" s="214"/>
      <c r="G38" s="214"/>
    </row>
    <row r="39" spans="1:8">
      <c r="A39" t="s">
        <v>77</v>
      </c>
      <c r="B39" s="214">
        <v>3.746</v>
      </c>
      <c r="C39" s="214">
        <v>3.3380000000000001</v>
      </c>
      <c r="D39" s="214">
        <v>3.294</v>
      </c>
      <c r="E39" s="214">
        <v>3.262</v>
      </c>
      <c r="F39" s="214">
        <v>3.145</v>
      </c>
      <c r="G39" s="214">
        <v>3.4470000000000001</v>
      </c>
      <c r="H39" s="33">
        <v>3.5</v>
      </c>
    </row>
    <row r="40" spans="1:8">
      <c r="A40" t="s">
        <v>79</v>
      </c>
      <c r="B40" s="214">
        <v>5.2050000000000001</v>
      </c>
      <c r="C40" s="214">
        <v>5.085</v>
      </c>
      <c r="D40" s="214">
        <v>5.0549999999999997</v>
      </c>
      <c r="E40" s="214">
        <v>4.4000000000000004</v>
      </c>
      <c r="F40" s="214">
        <v>4.3869999999999996</v>
      </c>
      <c r="G40" s="214">
        <v>5.117</v>
      </c>
      <c r="H40" s="33">
        <v>5.15</v>
      </c>
    </row>
    <row r="41" spans="1:8">
      <c r="A41" t="s">
        <v>334</v>
      </c>
      <c r="B41" s="214">
        <v>2.8290000000000002</v>
      </c>
      <c r="C41" s="214">
        <v>2.956</v>
      </c>
      <c r="D41" s="214">
        <v>2.6520000000000001</v>
      </c>
      <c r="E41" s="214">
        <v>2.8220000000000001</v>
      </c>
      <c r="F41" s="214">
        <v>2.585</v>
      </c>
      <c r="G41" s="214">
        <v>2.8719999999999999</v>
      </c>
      <c r="H41" s="33">
        <v>3.0710000000000002</v>
      </c>
    </row>
    <row r="42" spans="1:8">
      <c r="A42" t="s">
        <v>81</v>
      </c>
      <c r="B42" s="214">
        <v>55.755000000000003</v>
      </c>
      <c r="C42" s="214">
        <v>57.771000000000001</v>
      </c>
      <c r="D42" s="214">
        <v>58.716999999999999</v>
      </c>
      <c r="E42" s="214">
        <v>59.226999999999997</v>
      </c>
      <c r="F42" s="214">
        <v>61.911999999999999</v>
      </c>
      <c r="G42" s="214">
        <v>66.349000000000004</v>
      </c>
      <c r="H42" s="33">
        <v>71.022000000000006</v>
      </c>
    </row>
    <row r="43" spans="1:8">
      <c r="A43" t="s">
        <v>82</v>
      </c>
      <c r="B43" s="214">
        <v>6.36</v>
      </c>
      <c r="C43" s="214">
        <v>6.5830000000000002</v>
      </c>
      <c r="D43" s="214">
        <v>7.2169999999999996</v>
      </c>
      <c r="E43" s="214">
        <v>6.8109999999999999</v>
      </c>
      <c r="F43" s="214">
        <v>7.2110000000000003</v>
      </c>
      <c r="G43" s="214">
        <v>7.7969999999999997</v>
      </c>
      <c r="H43" s="33">
        <v>8.0619999999999994</v>
      </c>
    </row>
    <row r="44" spans="1:8">
      <c r="A44" t="s">
        <v>89</v>
      </c>
      <c r="B44" s="214">
        <v>5.44</v>
      </c>
      <c r="C44" s="214">
        <v>5.6749999999999998</v>
      </c>
      <c r="D44" s="214">
        <v>5.5039999999999996</v>
      </c>
      <c r="E44" s="214">
        <v>5.44</v>
      </c>
      <c r="F44" s="214">
        <v>5.6319999999999997</v>
      </c>
      <c r="G44" s="214">
        <v>5.9450000000000003</v>
      </c>
      <c r="H44" s="33">
        <v>5.5149999999999997</v>
      </c>
    </row>
    <row r="45" spans="1:8">
      <c r="A45" t="s">
        <v>326</v>
      </c>
      <c r="B45" s="214">
        <v>24.282</v>
      </c>
      <c r="C45" s="214">
        <v>26.164000000000001</v>
      </c>
      <c r="D45" s="214">
        <v>27.329000000000001</v>
      </c>
      <c r="E45" s="214">
        <v>28.367999999999999</v>
      </c>
      <c r="F45" s="214">
        <v>28.902000000000001</v>
      </c>
      <c r="G45" s="214">
        <v>28.603000000000002</v>
      </c>
      <c r="H45" s="33">
        <v>28.390999999999998</v>
      </c>
    </row>
    <row r="46" spans="1:8">
      <c r="A46" t="s">
        <v>84</v>
      </c>
      <c r="B46" s="214">
        <v>42.597999999999999</v>
      </c>
      <c r="C46" s="214">
        <v>45.264000000000003</v>
      </c>
      <c r="D46" s="214">
        <v>47.835999999999999</v>
      </c>
      <c r="E46" s="214">
        <v>52.173999999999999</v>
      </c>
      <c r="F46" s="214">
        <v>53.460999999999999</v>
      </c>
      <c r="G46" s="214">
        <v>54.51</v>
      </c>
      <c r="H46" s="33">
        <v>56.226999999999997</v>
      </c>
    </row>
    <row r="47" spans="1:8">
      <c r="A47" t="s">
        <v>325</v>
      </c>
      <c r="B47" s="214">
        <v>13.122999999999999</v>
      </c>
      <c r="C47" s="214">
        <v>14.147</v>
      </c>
      <c r="D47" s="214">
        <v>14.113</v>
      </c>
      <c r="E47" s="214">
        <v>15.167999999999999</v>
      </c>
      <c r="F47" s="214">
        <v>16.593</v>
      </c>
      <c r="G47" s="214">
        <v>17.547000000000001</v>
      </c>
      <c r="H47" s="33">
        <v>17.724</v>
      </c>
    </row>
    <row r="48" spans="1:8" ht="10.199999999999999" customHeight="1">
      <c r="A48" t="s">
        <v>3</v>
      </c>
      <c r="B48" s="214">
        <f t="shared" ref="B48:H48" si="3">SUM(B39:B47)</f>
        <v>159.33799999999997</v>
      </c>
      <c r="C48" s="214">
        <f t="shared" si="3"/>
        <v>166.983</v>
      </c>
      <c r="D48" s="214">
        <f t="shared" si="3"/>
        <v>171.71699999999998</v>
      </c>
      <c r="E48" s="214">
        <f t="shared" si="3"/>
        <v>177.672</v>
      </c>
      <c r="F48" s="214">
        <f t="shared" si="3"/>
        <v>183.828</v>
      </c>
      <c r="G48" s="214">
        <f t="shared" si="3"/>
        <v>192.18699999999998</v>
      </c>
      <c r="H48" s="214">
        <f t="shared" si="3"/>
        <v>198.66200000000001</v>
      </c>
    </row>
    <row r="49" spans="1:8">
      <c r="A49" t="s">
        <v>197</v>
      </c>
      <c r="B49" s="214"/>
      <c r="C49" s="214"/>
      <c r="D49" s="214"/>
      <c r="E49" s="214"/>
      <c r="F49" s="214"/>
      <c r="G49" s="214"/>
    </row>
    <row r="50" spans="1:8">
      <c r="A50" t="s">
        <v>77</v>
      </c>
      <c r="B50" s="214">
        <v>0.46100000000000002</v>
      </c>
      <c r="C50" s="214">
        <v>0.33</v>
      </c>
      <c r="D50" s="214">
        <v>0.29099999999999998</v>
      </c>
      <c r="E50" s="214">
        <v>0.379</v>
      </c>
      <c r="F50" s="214">
        <v>0.28599999999999998</v>
      </c>
      <c r="G50" s="214">
        <v>0.47</v>
      </c>
      <c r="H50" s="33">
        <v>0.50700000000000001</v>
      </c>
    </row>
    <row r="51" spans="1:8">
      <c r="A51" t="s">
        <v>79</v>
      </c>
      <c r="B51" s="214">
        <v>0.20899999999999999</v>
      </c>
      <c r="C51" s="214">
        <v>0.22600000000000001</v>
      </c>
      <c r="D51" s="214">
        <v>0.223</v>
      </c>
      <c r="E51" s="214">
        <v>0.104</v>
      </c>
      <c r="F51" s="214">
        <v>0.11</v>
      </c>
      <c r="G51" s="214">
        <v>0.127</v>
      </c>
      <c r="H51" s="33">
        <v>0.13700000000000001</v>
      </c>
    </row>
    <row r="52" spans="1:8">
      <c r="A52" t="s">
        <v>334</v>
      </c>
      <c r="B52" s="214">
        <v>0.52300000000000002</v>
      </c>
      <c r="C52" s="214">
        <v>0.64100000000000001</v>
      </c>
      <c r="D52" s="214">
        <v>0.29299999999999998</v>
      </c>
      <c r="E52" s="214">
        <v>0.48799999999999999</v>
      </c>
      <c r="F52" s="214">
        <v>0.33800000000000002</v>
      </c>
      <c r="G52" s="214">
        <v>0.61699999999999999</v>
      </c>
      <c r="H52" s="33">
        <v>0.56000000000000005</v>
      </c>
    </row>
    <row r="53" spans="1:8">
      <c r="A53" t="s">
        <v>81</v>
      </c>
      <c r="B53" s="214">
        <v>9.2360000000000007</v>
      </c>
      <c r="C53" s="214">
        <v>9.5749999999999993</v>
      </c>
      <c r="D53" s="214">
        <v>10.199999999999999</v>
      </c>
      <c r="E53" s="214">
        <v>8.6910000000000007</v>
      </c>
      <c r="F53" s="214">
        <v>8.5440000000000005</v>
      </c>
      <c r="G53" s="214">
        <v>10.478999999999999</v>
      </c>
      <c r="H53" s="33">
        <v>10.789</v>
      </c>
    </row>
    <row r="54" spans="1:8">
      <c r="A54" t="s">
        <v>82</v>
      </c>
      <c r="B54" s="214">
        <v>0.82</v>
      </c>
      <c r="C54" s="214">
        <v>0.92900000000000005</v>
      </c>
      <c r="D54" s="214">
        <v>0.85199999999999998</v>
      </c>
      <c r="E54" s="214">
        <v>0.66600000000000004</v>
      </c>
      <c r="F54" s="214">
        <v>0.69499999999999995</v>
      </c>
      <c r="G54" s="214">
        <v>0.80200000000000005</v>
      </c>
      <c r="H54" s="33">
        <v>0.86099999999999999</v>
      </c>
    </row>
    <row r="55" spans="1:8">
      <c r="A55" t="s">
        <v>89</v>
      </c>
      <c r="B55" s="214">
        <v>0.223</v>
      </c>
      <c r="C55" s="214">
        <v>0.24</v>
      </c>
      <c r="D55" s="214">
        <v>0.151</v>
      </c>
      <c r="E55" s="214">
        <v>0.13400000000000001</v>
      </c>
      <c r="F55" s="214">
        <v>0.34200000000000003</v>
      </c>
      <c r="G55" s="214">
        <v>0.29499999999999998</v>
      </c>
      <c r="H55" s="33">
        <v>0.29599999999999999</v>
      </c>
    </row>
    <row r="56" spans="1:8">
      <c r="A56" t="s">
        <v>326</v>
      </c>
      <c r="B56" s="214">
        <v>4.4349999999999996</v>
      </c>
      <c r="C56" s="214">
        <v>5.5359999999999996</v>
      </c>
      <c r="D56" s="214">
        <v>5.7080000000000002</v>
      </c>
      <c r="E56" s="214">
        <v>5.1680000000000001</v>
      </c>
      <c r="F56" s="214">
        <v>4.1470000000000002</v>
      </c>
      <c r="G56" s="214">
        <v>3.2930000000000001</v>
      </c>
      <c r="H56" s="33">
        <v>2.76</v>
      </c>
    </row>
    <row r="57" spans="1:8">
      <c r="A57" t="s">
        <v>84</v>
      </c>
      <c r="B57" s="214">
        <v>4.0830000000000002</v>
      </c>
      <c r="C57" s="214">
        <v>3.8940000000000001</v>
      </c>
      <c r="D57" s="214">
        <v>4.306</v>
      </c>
      <c r="E57" s="214">
        <v>3.605</v>
      </c>
      <c r="F57" s="214">
        <v>3.738</v>
      </c>
      <c r="G57" s="214">
        <v>3.617</v>
      </c>
      <c r="H57" s="33">
        <v>3.714</v>
      </c>
    </row>
    <row r="58" spans="1:8">
      <c r="A58" t="s">
        <v>325</v>
      </c>
      <c r="B58" s="214">
        <v>2.3260000000000001</v>
      </c>
      <c r="C58" s="214">
        <v>2.8140000000000001</v>
      </c>
      <c r="D58" s="214">
        <v>2.4140000000000001</v>
      </c>
      <c r="E58" s="214">
        <v>1.512</v>
      </c>
      <c r="F58" s="214">
        <v>1.754</v>
      </c>
      <c r="G58" s="214">
        <v>1.1970000000000001</v>
      </c>
      <c r="H58" s="33">
        <v>1.4219999999999999</v>
      </c>
    </row>
    <row r="59" spans="1:8">
      <c r="A59" s="1" t="s">
        <v>3</v>
      </c>
      <c r="B59" s="202">
        <f t="shared" ref="B59:H59" si="4">SUM(B50:B58)</f>
        <v>22.316000000000003</v>
      </c>
      <c r="C59" s="202">
        <f t="shared" si="4"/>
        <v>24.184999999999995</v>
      </c>
      <c r="D59" s="202">
        <f t="shared" si="4"/>
        <v>24.438000000000002</v>
      </c>
      <c r="E59" s="202">
        <f t="shared" si="4"/>
        <v>20.747000000000003</v>
      </c>
      <c r="F59" s="202">
        <f t="shared" si="4"/>
        <v>19.954000000000004</v>
      </c>
      <c r="G59" s="202">
        <f t="shared" si="4"/>
        <v>20.896999999999998</v>
      </c>
      <c r="H59" s="202">
        <f t="shared" si="4"/>
        <v>21.045999999999999</v>
      </c>
    </row>
    <row r="60" spans="1:8">
      <c r="A60" s="107" t="s">
        <v>374</v>
      </c>
    </row>
    <row r="61" spans="1:8">
      <c r="A61" s="107" t="s">
        <v>540</v>
      </c>
    </row>
    <row r="62" spans="1:8" ht="10.199999999999999" customHeight="1">
      <c r="A62" s="107" t="s">
        <v>541</v>
      </c>
      <c r="F62" s="278"/>
      <c r="G62" s="278" t="s">
        <v>679</v>
      </c>
    </row>
  </sheetData>
  <phoneticPr fontId="0" type="noConversion"/>
  <pageMargins left="0.7" right="0.7" top="0.75" bottom="0.75" header="0.3" footer="0.3"/>
  <pageSetup scale="10" firstPageNumber="80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H57"/>
  <sheetViews>
    <sheetView topLeftCell="A34" zoomScaleNormal="100" zoomScaleSheetLayoutView="100" workbookViewId="0">
      <selection activeCell="A105" sqref="A105"/>
    </sheetView>
  </sheetViews>
  <sheetFormatPr defaultRowHeight="10.199999999999999"/>
  <cols>
    <col min="1" max="1" width="22.140625" customWidth="1"/>
    <col min="2" max="7" width="12.7109375" customWidth="1"/>
    <col min="8" max="8" width="13.7109375" customWidth="1"/>
  </cols>
  <sheetData>
    <row r="1" spans="1:8">
      <c r="A1" s="114" t="s">
        <v>709</v>
      </c>
      <c r="B1" s="1"/>
      <c r="C1" s="1"/>
      <c r="D1" s="1"/>
    </row>
    <row r="2" spans="1:8">
      <c r="B2" s="22"/>
      <c r="C2" s="22"/>
      <c r="D2" s="22"/>
      <c r="E2" s="3"/>
      <c r="F2" s="3"/>
      <c r="G2" s="3"/>
      <c r="H2" s="3"/>
    </row>
    <row r="3" spans="1:8">
      <c r="A3" s="1" t="s">
        <v>322</v>
      </c>
      <c r="B3" s="185" t="s">
        <v>438</v>
      </c>
      <c r="C3" s="185" t="s">
        <v>464</v>
      </c>
      <c r="D3" s="185" t="s">
        <v>496</v>
      </c>
      <c r="E3" s="185" t="s">
        <v>576</v>
      </c>
      <c r="F3" s="185" t="s">
        <v>655</v>
      </c>
      <c r="G3" s="185" t="s">
        <v>573</v>
      </c>
      <c r="H3" s="185" t="s">
        <v>656</v>
      </c>
    </row>
    <row r="4" spans="1:8">
      <c r="C4" s="285"/>
      <c r="D4" s="285" t="s">
        <v>241</v>
      </c>
      <c r="E4" s="285"/>
      <c r="F4" s="285"/>
      <c r="G4" s="157"/>
    </row>
    <row r="5" spans="1:8">
      <c r="A5" t="s">
        <v>66</v>
      </c>
      <c r="B5" s="33"/>
      <c r="C5" s="33"/>
      <c r="D5" s="33"/>
      <c r="E5" s="33"/>
      <c r="F5" s="33"/>
      <c r="G5" s="33"/>
    </row>
    <row r="6" spans="1:8">
      <c r="A6" t="s">
        <v>327</v>
      </c>
      <c r="B6" s="214">
        <v>1.919</v>
      </c>
      <c r="C6" s="214">
        <v>1.8009999999999999</v>
      </c>
      <c r="D6" s="214">
        <v>1.7969999999999999</v>
      </c>
      <c r="E6" s="214">
        <v>1.768</v>
      </c>
      <c r="F6" s="214">
        <v>1.806</v>
      </c>
      <c r="G6" s="214">
        <v>1.917</v>
      </c>
      <c r="H6" s="214">
        <v>1.9419999999999999</v>
      </c>
    </row>
    <row r="7" spans="1:8">
      <c r="A7" t="s">
        <v>79</v>
      </c>
      <c r="B7" s="214">
        <v>15.763999999999999</v>
      </c>
      <c r="C7" s="214">
        <v>15.706</v>
      </c>
      <c r="D7" s="214">
        <v>15.54</v>
      </c>
      <c r="E7" s="214">
        <v>13.077999999999999</v>
      </c>
      <c r="F7" s="214">
        <v>13.439</v>
      </c>
      <c r="G7" s="214">
        <v>15.685</v>
      </c>
      <c r="H7" s="214">
        <v>15.798999999999999</v>
      </c>
    </row>
    <row r="8" spans="1:8">
      <c r="A8" t="s">
        <v>336</v>
      </c>
      <c r="B8" s="214">
        <v>4.8390000000000004</v>
      </c>
      <c r="C8" s="214">
        <v>4.4530000000000003</v>
      </c>
      <c r="D8" s="214">
        <v>4.6859999999999999</v>
      </c>
      <c r="E8" s="214">
        <v>4.5090000000000003</v>
      </c>
      <c r="F8" s="214">
        <v>4.8860000000000001</v>
      </c>
      <c r="G8" s="214">
        <v>4.8330000000000002</v>
      </c>
      <c r="H8" s="214">
        <v>4.7270000000000003</v>
      </c>
    </row>
    <row r="9" spans="1:8">
      <c r="A9" t="s">
        <v>335</v>
      </c>
      <c r="B9" s="214">
        <v>7.8070000000000004</v>
      </c>
      <c r="C9" s="214">
        <v>8.2850000000000001</v>
      </c>
      <c r="D9" s="214">
        <v>8.6</v>
      </c>
      <c r="E9" s="214">
        <v>8.3140000000000001</v>
      </c>
      <c r="F9" s="214">
        <v>8.8870000000000005</v>
      </c>
      <c r="G9" s="214">
        <v>9.7409999999999997</v>
      </c>
      <c r="H9" s="214">
        <v>10.086</v>
      </c>
    </row>
    <row r="10" spans="1:8">
      <c r="A10" t="s">
        <v>89</v>
      </c>
      <c r="B10" s="214">
        <v>6.62</v>
      </c>
      <c r="C10" s="214">
        <v>7.0590000000000002</v>
      </c>
      <c r="D10" s="214">
        <v>6.6589999999999998</v>
      </c>
      <c r="E10" s="214">
        <v>6.6719999999999997</v>
      </c>
      <c r="F10" s="214">
        <v>7.0860000000000003</v>
      </c>
      <c r="G10" s="214">
        <v>7.3140000000000001</v>
      </c>
      <c r="H10" s="214">
        <v>6.8289999999999997</v>
      </c>
    </row>
    <row r="11" spans="1:8">
      <c r="A11" t="s">
        <v>326</v>
      </c>
      <c r="B11" s="214">
        <v>36.488999999999997</v>
      </c>
      <c r="C11" s="214">
        <v>38.777000000000001</v>
      </c>
      <c r="D11" s="214">
        <v>39.085999999999999</v>
      </c>
      <c r="E11" s="214">
        <v>39.453000000000003</v>
      </c>
      <c r="F11" s="214">
        <v>38.764000000000003</v>
      </c>
      <c r="G11" s="214">
        <v>39.042000000000002</v>
      </c>
      <c r="H11" s="214">
        <v>39.423000000000002</v>
      </c>
    </row>
    <row r="12" spans="1:8">
      <c r="A12" t="s">
        <v>323</v>
      </c>
      <c r="B12" s="214">
        <v>182.208</v>
      </c>
      <c r="C12" s="214">
        <v>190.47800000000001</v>
      </c>
      <c r="D12" s="214">
        <v>208.608</v>
      </c>
      <c r="E12" s="214">
        <v>216.131</v>
      </c>
      <c r="F12" s="214">
        <v>225.54900000000001</v>
      </c>
      <c r="G12" s="214">
        <v>232.33099999999999</v>
      </c>
      <c r="H12" s="214">
        <v>238.196</v>
      </c>
    </row>
    <row r="13" spans="1:8">
      <c r="A13" t="s">
        <v>325</v>
      </c>
      <c r="B13" s="214">
        <v>14.156000000000001</v>
      </c>
      <c r="C13" s="214">
        <v>16.846</v>
      </c>
      <c r="D13" s="214">
        <v>16.132999999999999</v>
      </c>
      <c r="E13" s="214">
        <v>16.501999999999999</v>
      </c>
      <c r="F13" s="214">
        <v>19.346</v>
      </c>
      <c r="G13" s="214">
        <v>19.594999999999999</v>
      </c>
      <c r="H13" s="214">
        <v>20.86</v>
      </c>
    </row>
    <row r="14" spans="1:8">
      <c r="A14" t="s">
        <v>3</v>
      </c>
      <c r="B14" s="214">
        <f t="shared" ref="B14:H14" si="0">SUM(B6:B13)</f>
        <v>269.80199999999996</v>
      </c>
      <c r="C14" s="214">
        <f t="shared" si="0"/>
        <v>283.40499999999997</v>
      </c>
      <c r="D14" s="214">
        <f t="shared" si="0"/>
        <v>301.10899999999998</v>
      </c>
      <c r="E14" s="214">
        <f t="shared" si="0"/>
        <v>306.42700000000002</v>
      </c>
      <c r="F14" s="214">
        <f t="shared" si="0"/>
        <v>319.76300000000003</v>
      </c>
      <c r="G14" s="214">
        <f t="shared" si="0"/>
        <v>330.45799999999997</v>
      </c>
      <c r="H14" s="214">
        <f t="shared" si="0"/>
        <v>337.86200000000002</v>
      </c>
    </row>
    <row r="15" spans="1:8">
      <c r="A15" t="s">
        <v>88</v>
      </c>
      <c r="B15" s="214"/>
      <c r="C15" s="214"/>
      <c r="D15" s="214"/>
      <c r="E15" s="214"/>
      <c r="F15" s="214"/>
      <c r="G15" s="214"/>
    </row>
    <row r="16" spans="1:8">
      <c r="A16" t="s">
        <v>327</v>
      </c>
      <c r="B16" s="214">
        <v>0.997</v>
      </c>
      <c r="C16" s="214">
        <v>0.70299999999999996</v>
      </c>
      <c r="D16" s="214">
        <v>0.67300000000000004</v>
      </c>
      <c r="E16" s="214">
        <v>0.55900000000000005</v>
      </c>
      <c r="F16" s="214">
        <v>0.47599999999999998</v>
      </c>
      <c r="G16" s="214">
        <v>0.63600000000000001</v>
      </c>
      <c r="H16" s="214">
        <v>0.56999999999999995</v>
      </c>
    </row>
    <row r="17" spans="1:8">
      <c r="A17" t="s">
        <v>79</v>
      </c>
      <c r="B17" s="214">
        <v>0.42699999999999999</v>
      </c>
      <c r="C17" s="214">
        <v>0.35599999999999998</v>
      </c>
      <c r="D17" s="214">
        <v>0.25700000000000001</v>
      </c>
      <c r="E17" s="214">
        <v>0.21299999999999999</v>
      </c>
      <c r="F17" s="214">
        <v>0.24299999999999999</v>
      </c>
      <c r="G17" s="214">
        <v>0.313</v>
      </c>
      <c r="H17" s="214">
        <v>0.311</v>
      </c>
    </row>
    <row r="18" spans="1:8">
      <c r="A18" t="s">
        <v>336</v>
      </c>
      <c r="B18" s="214">
        <v>2.4649999999999999</v>
      </c>
      <c r="C18" s="214">
        <v>2.7360000000000002</v>
      </c>
      <c r="D18" s="214">
        <v>2.5009999999999999</v>
      </c>
      <c r="E18" s="214">
        <v>2.4649999999999999</v>
      </c>
      <c r="F18" s="214">
        <v>3.0649999999999999</v>
      </c>
      <c r="G18" s="214">
        <v>2.98</v>
      </c>
      <c r="H18" s="214">
        <v>2.8140000000000001</v>
      </c>
    </row>
    <row r="19" spans="1:8">
      <c r="A19" t="s">
        <v>335</v>
      </c>
      <c r="B19" s="214">
        <v>6.1959999999999997</v>
      </c>
      <c r="C19" s="214">
        <v>6.5069999999999997</v>
      </c>
      <c r="D19" s="214">
        <v>6.8159999999999998</v>
      </c>
      <c r="E19" s="214">
        <v>6.4530000000000003</v>
      </c>
      <c r="F19" s="214">
        <v>7.5780000000000003</v>
      </c>
      <c r="G19" s="214">
        <v>7.9420000000000002</v>
      </c>
      <c r="H19" s="214">
        <v>8.0090000000000003</v>
      </c>
    </row>
    <row r="20" spans="1:8">
      <c r="A20" t="s">
        <v>89</v>
      </c>
      <c r="B20" s="214">
        <v>3.9E-2</v>
      </c>
      <c r="C20" s="214">
        <v>9.6000000000000002E-2</v>
      </c>
      <c r="D20" s="214">
        <v>2.7E-2</v>
      </c>
      <c r="E20" s="214">
        <v>1.7999999999999999E-2</v>
      </c>
      <c r="F20" s="214">
        <v>0.13400000000000001</v>
      </c>
      <c r="G20" s="214">
        <v>5.3999999999999999E-2</v>
      </c>
      <c r="H20" s="214">
        <v>6.6000000000000003E-2</v>
      </c>
    </row>
    <row r="21" spans="1:8">
      <c r="A21" t="s">
        <v>326</v>
      </c>
      <c r="B21" s="214">
        <v>5.6130000000000004</v>
      </c>
      <c r="C21" s="214">
        <v>6.5010000000000003</v>
      </c>
      <c r="D21" s="214">
        <v>5.992</v>
      </c>
      <c r="E21" s="214">
        <v>5.7039999999999997</v>
      </c>
      <c r="F21" s="214">
        <v>5.8949999999999996</v>
      </c>
      <c r="G21" s="214">
        <v>6.2149999999999999</v>
      </c>
      <c r="H21" s="214">
        <v>6.4189999999999996</v>
      </c>
    </row>
    <row r="22" spans="1:8">
      <c r="A22" t="s">
        <v>323</v>
      </c>
      <c r="B22" s="214">
        <v>54.067999999999998</v>
      </c>
      <c r="C22" s="214">
        <v>57.767000000000003</v>
      </c>
      <c r="D22" s="214">
        <v>60.694000000000003</v>
      </c>
      <c r="E22" s="214">
        <v>61.75</v>
      </c>
      <c r="F22" s="214">
        <v>60.4</v>
      </c>
      <c r="G22" s="214">
        <v>59.991999999999997</v>
      </c>
      <c r="H22" s="214">
        <v>62.677</v>
      </c>
    </row>
    <row r="23" spans="1:8">
      <c r="A23" t="s">
        <v>325</v>
      </c>
      <c r="B23" s="214">
        <v>4.9260000000000002</v>
      </c>
      <c r="C23" s="214">
        <v>5.7629999999999999</v>
      </c>
      <c r="D23" s="214">
        <v>5.5220000000000002</v>
      </c>
      <c r="E23" s="214">
        <v>5.9539999999999997</v>
      </c>
      <c r="F23" s="214">
        <v>6.9630000000000001</v>
      </c>
      <c r="G23" s="214">
        <v>6.5839999999999996</v>
      </c>
      <c r="H23" s="214">
        <v>7.1719999999999997</v>
      </c>
    </row>
    <row r="24" spans="1:8">
      <c r="A24" t="s">
        <v>3</v>
      </c>
      <c r="B24" s="214">
        <f t="shared" ref="B24:H24" si="1">SUM(B16:B23)</f>
        <v>74.730999999999995</v>
      </c>
      <c r="C24" s="214">
        <f t="shared" si="1"/>
        <v>80.429000000000002</v>
      </c>
      <c r="D24" s="214">
        <f t="shared" si="1"/>
        <v>82.482000000000014</v>
      </c>
      <c r="E24" s="214">
        <f t="shared" si="1"/>
        <v>83.116</v>
      </c>
      <c r="F24" s="214">
        <f t="shared" si="1"/>
        <v>84.753999999999991</v>
      </c>
      <c r="G24" s="214">
        <f t="shared" si="1"/>
        <v>84.716000000000008</v>
      </c>
      <c r="H24" s="214">
        <f t="shared" si="1"/>
        <v>88.037999999999997</v>
      </c>
    </row>
    <row r="25" spans="1:8">
      <c r="A25" t="s">
        <v>90</v>
      </c>
      <c r="B25" s="214"/>
      <c r="C25" s="214"/>
      <c r="D25" s="214"/>
      <c r="E25" s="214"/>
      <c r="F25" s="214"/>
      <c r="G25" s="214"/>
    </row>
    <row r="26" spans="1:8">
      <c r="A26" t="s">
        <v>327</v>
      </c>
      <c r="B26" s="214">
        <v>1.095</v>
      </c>
      <c r="C26" s="214">
        <v>0.72199999999999998</v>
      </c>
      <c r="D26" s="214">
        <v>0.73299999999999998</v>
      </c>
      <c r="E26" s="214">
        <v>0.57599999999999996</v>
      </c>
      <c r="F26" s="214">
        <v>0.41599999999999998</v>
      </c>
      <c r="G26" s="214">
        <v>0.64200000000000002</v>
      </c>
      <c r="H26" s="214">
        <v>0.61199999999999999</v>
      </c>
    </row>
    <row r="27" spans="1:8">
      <c r="A27" t="s">
        <v>79</v>
      </c>
      <c r="B27" s="214">
        <v>0.53200000000000003</v>
      </c>
      <c r="C27" s="214">
        <v>0.38200000000000001</v>
      </c>
      <c r="D27" s="214">
        <v>0.316</v>
      </c>
      <c r="E27" s="214">
        <v>0.249</v>
      </c>
      <c r="F27" s="214">
        <v>0.33800000000000002</v>
      </c>
      <c r="G27" s="214">
        <v>0.44900000000000001</v>
      </c>
      <c r="H27" s="214">
        <v>0.38600000000000001</v>
      </c>
    </row>
    <row r="28" spans="1:8">
      <c r="A28" t="s">
        <v>336</v>
      </c>
      <c r="B28" s="214">
        <v>2.3210000000000002</v>
      </c>
      <c r="C28" s="214">
        <v>2.4700000000000002</v>
      </c>
      <c r="D28" s="214">
        <v>2.282</v>
      </c>
      <c r="E28" s="214">
        <v>2.2149999999999999</v>
      </c>
      <c r="F28" s="214">
        <v>2.528</v>
      </c>
      <c r="G28" s="214">
        <v>2.4470000000000001</v>
      </c>
      <c r="H28" s="214">
        <v>2.38</v>
      </c>
    </row>
    <row r="29" spans="1:8">
      <c r="A29" t="s">
        <v>335</v>
      </c>
      <c r="B29" s="214">
        <v>6.1050000000000004</v>
      </c>
      <c r="C29" s="214">
        <v>6.3780000000000001</v>
      </c>
      <c r="D29" s="214">
        <v>6.4560000000000004</v>
      </c>
      <c r="E29" s="214">
        <v>6.3769999999999998</v>
      </c>
      <c r="F29" s="214">
        <v>6.7229999999999999</v>
      </c>
      <c r="G29" s="214">
        <v>7.21</v>
      </c>
      <c r="H29" s="214">
        <v>7.4320000000000004</v>
      </c>
    </row>
    <row r="30" spans="1:8">
      <c r="A30" t="s">
        <v>89</v>
      </c>
      <c r="B30" s="214">
        <v>0.09</v>
      </c>
      <c r="C30" s="214">
        <v>0.13100000000000001</v>
      </c>
      <c r="D30" s="214">
        <v>5.3999999999999999E-2</v>
      </c>
      <c r="E30" s="214">
        <v>5.3999999999999999E-2</v>
      </c>
      <c r="F30" s="214">
        <v>0.155</v>
      </c>
      <c r="G30" s="214">
        <v>0.105</v>
      </c>
      <c r="H30" s="214">
        <v>8.8999999999999996E-2</v>
      </c>
    </row>
    <row r="31" spans="1:8">
      <c r="A31" t="s">
        <v>326</v>
      </c>
      <c r="B31" s="214">
        <v>5.6980000000000004</v>
      </c>
      <c r="C31" s="214">
        <v>6.351</v>
      </c>
      <c r="D31" s="214">
        <v>6.0670000000000002</v>
      </c>
      <c r="E31" s="214">
        <v>5.6890000000000001</v>
      </c>
      <c r="F31" s="214">
        <v>6.0309999999999997</v>
      </c>
      <c r="G31" s="214">
        <v>6.3390000000000004</v>
      </c>
      <c r="H31" s="214">
        <v>6.49</v>
      </c>
    </row>
    <row r="32" spans="1:8">
      <c r="A32" t="s">
        <v>323</v>
      </c>
      <c r="B32" s="214">
        <v>58.390999999999998</v>
      </c>
      <c r="C32" s="214">
        <v>60.648000000000003</v>
      </c>
      <c r="D32" s="214">
        <v>64.403000000000006</v>
      </c>
      <c r="E32" s="214">
        <v>65.424999999999997</v>
      </c>
      <c r="F32" s="214">
        <v>64.551000000000002</v>
      </c>
      <c r="G32" s="214">
        <v>63.817</v>
      </c>
      <c r="H32" s="214">
        <v>66.790999999999997</v>
      </c>
    </row>
    <row r="33" spans="1:8">
      <c r="A33" t="s">
        <v>325</v>
      </c>
      <c r="B33" s="214">
        <v>5.133</v>
      </c>
      <c r="C33" s="214">
        <v>6.2229999999999999</v>
      </c>
      <c r="D33" s="214">
        <v>5.87</v>
      </c>
      <c r="E33" s="214">
        <v>6.3029999999999999</v>
      </c>
      <c r="F33" s="214">
        <v>7.4370000000000003</v>
      </c>
      <c r="G33" s="214">
        <v>6.875</v>
      </c>
      <c r="H33" s="214">
        <v>7.3559999999999999</v>
      </c>
    </row>
    <row r="34" spans="1:8">
      <c r="A34" t="s">
        <v>3</v>
      </c>
      <c r="B34" s="214">
        <f t="shared" ref="B34:H34" si="2">SUM(B26:B33)</f>
        <v>79.364999999999995</v>
      </c>
      <c r="C34" s="214">
        <f t="shared" si="2"/>
        <v>83.305000000000007</v>
      </c>
      <c r="D34" s="214">
        <f t="shared" si="2"/>
        <v>86.181000000000012</v>
      </c>
      <c r="E34" s="214">
        <f t="shared" si="2"/>
        <v>86.887999999999991</v>
      </c>
      <c r="F34" s="214">
        <f t="shared" si="2"/>
        <v>88.179000000000002</v>
      </c>
      <c r="G34" s="214">
        <f t="shared" si="2"/>
        <v>87.884</v>
      </c>
      <c r="H34" s="214">
        <f t="shared" si="2"/>
        <v>91.536000000000001</v>
      </c>
    </row>
    <row r="35" spans="1:8">
      <c r="A35" t="s">
        <v>373</v>
      </c>
      <c r="B35" s="214"/>
      <c r="C35" s="214"/>
      <c r="D35" s="214"/>
      <c r="E35" s="214"/>
      <c r="F35" s="214"/>
      <c r="G35" s="214"/>
    </row>
    <row r="36" spans="1:8">
      <c r="A36" t="s">
        <v>327</v>
      </c>
      <c r="B36" s="214">
        <v>1.944</v>
      </c>
      <c r="C36" s="214">
        <v>1.778</v>
      </c>
      <c r="D36" s="214">
        <v>1.7110000000000001</v>
      </c>
      <c r="E36" s="214">
        <v>1.708</v>
      </c>
      <c r="F36" s="214">
        <v>1.8029999999999999</v>
      </c>
      <c r="G36" s="214">
        <v>1.948</v>
      </c>
      <c r="H36" s="214">
        <v>1.899</v>
      </c>
    </row>
    <row r="37" spans="1:8">
      <c r="A37" t="s">
        <v>79</v>
      </c>
      <c r="B37" s="214">
        <v>15.654999999999999</v>
      </c>
      <c r="C37" s="214">
        <v>15.68</v>
      </c>
      <c r="D37" s="214">
        <v>15.478999999999999</v>
      </c>
      <c r="E37" s="214">
        <v>13.189</v>
      </c>
      <c r="F37" s="214">
        <v>13.321999999999999</v>
      </c>
      <c r="G37" s="214">
        <v>15.53</v>
      </c>
      <c r="H37" s="214">
        <v>15.743</v>
      </c>
    </row>
    <row r="38" spans="1:8">
      <c r="A38" t="s">
        <v>336</v>
      </c>
      <c r="B38" s="214">
        <v>4.8099999999999996</v>
      </c>
      <c r="C38" s="214">
        <v>4.9420000000000002</v>
      </c>
      <c r="D38" s="214">
        <v>4.8730000000000002</v>
      </c>
      <c r="E38" s="214">
        <v>4.7549999999999999</v>
      </c>
      <c r="F38" s="214">
        <v>5.4340000000000002</v>
      </c>
      <c r="G38" s="214">
        <v>5.3029999999999999</v>
      </c>
      <c r="H38" s="214">
        <v>5.173</v>
      </c>
    </row>
    <row r="39" spans="1:8">
      <c r="A39" t="s">
        <v>335</v>
      </c>
      <c r="B39" s="214">
        <v>7.8609999999999998</v>
      </c>
      <c r="C39" s="214">
        <v>8.1769999999999996</v>
      </c>
      <c r="D39" s="214">
        <v>8.9260000000000002</v>
      </c>
      <c r="E39" s="214">
        <v>8.4480000000000004</v>
      </c>
      <c r="F39" s="214">
        <v>9.6790000000000003</v>
      </c>
      <c r="G39" s="214">
        <v>10.384</v>
      </c>
      <c r="H39" s="214">
        <v>10.592000000000001</v>
      </c>
    </row>
    <row r="40" spans="1:8">
      <c r="A40" t="s">
        <v>89</v>
      </c>
      <c r="B40" s="214">
        <v>6.5659999999999998</v>
      </c>
      <c r="C40" s="214">
        <v>7.0179999999999998</v>
      </c>
      <c r="D40" s="214">
        <v>6.6369999999999996</v>
      </c>
      <c r="E40" s="214">
        <v>6.6070000000000002</v>
      </c>
      <c r="F40" s="214">
        <v>7.0860000000000003</v>
      </c>
      <c r="G40" s="214">
        <v>7.2679999999999998</v>
      </c>
      <c r="H40" s="214">
        <v>6.8070000000000004</v>
      </c>
    </row>
    <row r="41" spans="1:8">
      <c r="A41" t="s">
        <v>326</v>
      </c>
      <c r="B41" s="214">
        <v>36.558</v>
      </c>
      <c r="C41" s="214">
        <v>38.936999999999998</v>
      </c>
      <c r="D41" s="214">
        <v>39.094000000000001</v>
      </c>
      <c r="E41" s="214">
        <v>39.347000000000001</v>
      </c>
      <c r="F41" s="214">
        <v>38.694000000000003</v>
      </c>
      <c r="G41" s="214">
        <v>39.149000000000001</v>
      </c>
      <c r="H41" s="214">
        <v>39.372999999999998</v>
      </c>
    </row>
    <row r="42" spans="1:8">
      <c r="A42" t="s">
        <v>323</v>
      </c>
      <c r="B42" s="214">
        <v>178.779</v>
      </c>
      <c r="C42" s="214">
        <v>186.74199999999999</v>
      </c>
      <c r="D42" s="214">
        <v>201.833</v>
      </c>
      <c r="E42" s="214">
        <v>213.495</v>
      </c>
      <c r="F42" s="214">
        <v>221.66300000000001</v>
      </c>
      <c r="G42" s="214">
        <v>229.404</v>
      </c>
      <c r="H42" s="214">
        <v>234.54599999999999</v>
      </c>
    </row>
    <row r="43" spans="1:8">
      <c r="A43" t="s">
        <v>325</v>
      </c>
      <c r="B43" s="214">
        <v>14.804</v>
      </c>
      <c r="C43" s="214">
        <v>15.912000000000001</v>
      </c>
      <c r="D43" s="214">
        <v>15.608000000000001</v>
      </c>
      <c r="E43" s="214">
        <v>16.274000000000001</v>
      </c>
      <c r="F43" s="214">
        <v>19.11</v>
      </c>
      <c r="G43" s="214">
        <v>19.279</v>
      </c>
      <c r="H43" s="214">
        <v>20.640999999999998</v>
      </c>
    </row>
    <row r="44" spans="1:8">
      <c r="A44" t="s">
        <v>3</v>
      </c>
      <c r="B44" s="214">
        <f t="shared" ref="B44:H44" si="3">SUM(B36:B43)</f>
        <v>266.97699999999998</v>
      </c>
      <c r="C44" s="214">
        <f t="shared" si="3"/>
        <v>279.18599999999998</v>
      </c>
      <c r="D44" s="214">
        <f t="shared" si="3"/>
        <v>294.161</v>
      </c>
      <c r="E44" s="214">
        <f t="shared" si="3"/>
        <v>303.82299999999998</v>
      </c>
      <c r="F44" s="214">
        <f t="shared" si="3"/>
        <v>316.79100000000005</v>
      </c>
      <c r="G44" s="214">
        <f t="shared" si="3"/>
        <v>328.26499999999999</v>
      </c>
      <c r="H44" s="214">
        <f t="shared" si="3"/>
        <v>334.774</v>
      </c>
    </row>
    <row r="45" spans="1:8">
      <c r="A45" t="s">
        <v>197</v>
      </c>
      <c r="B45" s="214"/>
      <c r="C45" s="214"/>
      <c r="D45" s="214"/>
      <c r="E45" s="214"/>
      <c r="F45" s="214"/>
      <c r="G45" s="214"/>
    </row>
    <row r="46" spans="1:8">
      <c r="A46" t="s">
        <v>327</v>
      </c>
      <c r="B46" s="214">
        <v>0.107</v>
      </c>
      <c r="C46" s="214">
        <v>0.111</v>
      </c>
      <c r="D46" s="214">
        <v>0.13700000000000001</v>
      </c>
      <c r="E46" s="214">
        <v>0.18</v>
      </c>
      <c r="F46" s="214">
        <v>0.189</v>
      </c>
      <c r="G46" s="214">
        <v>0.152</v>
      </c>
      <c r="H46" s="214">
        <v>0.153</v>
      </c>
    </row>
    <row r="47" spans="1:8">
      <c r="A47" t="s">
        <v>79</v>
      </c>
      <c r="B47" s="214">
        <v>0.216</v>
      </c>
      <c r="C47" s="214">
        <v>0.216</v>
      </c>
      <c r="D47" s="214">
        <v>0.218</v>
      </c>
      <c r="E47" s="214">
        <v>7.0999999999999994E-2</v>
      </c>
      <c r="F47" s="214">
        <v>9.5000000000000001E-2</v>
      </c>
      <c r="G47" s="214">
        <v>0.114</v>
      </c>
      <c r="H47" s="214">
        <v>9.5000000000000001E-2</v>
      </c>
    </row>
    <row r="48" spans="1:8">
      <c r="A48" t="s">
        <v>336</v>
      </c>
      <c r="B48" s="214">
        <v>0.45400000000000001</v>
      </c>
      <c r="C48" s="214">
        <v>0.23100000000000001</v>
      </c>
      <c r="D48" s="214">
        <v>0.26300000000000001</v>
      </c>
      <c r="E48" s="214">
        <v>0.26700000000000002</v>
      </c>
      <c r="F48" s="214">
        <v>0.26100000000000001</v>
      </c>
      <c r="G48" s="214">
        <v>0.32400000000000001</v>
      </c>
      <c r="H48" s="214">
        <v>0.312</v>
      </c>
    </row>
    <row r="49" spans="1:8">
      <c r="A49" t="s">
        <v>335</v>
      </c>
      <c r="B49" s="214">
        <v>0.377</v>
      </c>
      <c r="C49" s="214">
        <v>0.61399999999999999</v>
      </c>
      <c r="D49" s="214">
        <v>0.64800000000000002</v>
      </c>
      <c r="E49" s="214">
        <v>0.59</v>
      </c>
      <c r="F49" s="214">
        <v>0.44</v>
      </c>
      <c r="G49" s="214">
        <v>0.52900000000000003</v>
      </c>
      <c r="H49" s="214">
        <v>0.6</v>
      </c>
    </row>
    <row r="50" spans="1:8">
      <c r="A50" t="s">
        <v>89</v>
      </c>
      <c r="B50" s="214">
        <v>2.3E-2</v>
      </c>
      <c r="C50" s="214">
        <v>2.9000000000000001E-2</v>
      </c>
      <c r="D50" s="214">
        <v>2.4E-2</v>
      </c>
      <c r="E50" s="214">
        <v>5.2999999999999999E-2</v>
      </c>
      <c r="F50" s="214">
        <v>3.4000000000000002E-2</v>
      </c>
      <c r="G50" s="214">
        <v>2.9000000000000001E-2</v>
      </c>
      <c r="H50" s="214">
        <v>2.8000000000000001E-2</v>
      </c>
    </row>
    <row r="51" spans="1:8">
      <c r="A51" t="s">
        <v>326</v>
      </c>
      <c r="B51" s="214">
        <v>0.98499999999999999</v>
      </c>
      <c r="C51" s="214">
        <v>0.97499999999999998</v>
      </c>
      <c r="D51" s="214">
        <v>0.89200000000000002</v>
      </c>
      <c r="E51" s="214">
        <v>1.0129999999999999</v>
      </c>
      <c r="F51" s="214">
        <v>1.048</v>
      </c>
      <c r="G51" s="214">
        <v>0.81699999999999995</v>
      </c>
      <c r="H51" s="214">
        <v>0.79600000000000004</v>
      </c>
    </row>
    <row r="52" spans="1:8">
      <c r="A52" t="s">
        <v>323</v>
      </c>
      <c r="B52" s="214">
        <v>9.7530000000000001</v>
      </c>
      <c r="C52" s="214">
        <v>10.608000000000001</v>
      </c>
      <c r="D52" s="214">
        <v>13.673999999999999</v>
      </c>
      <c r="E52" s="214">
        <v>12.635</v>
      </c>
      <c r="F52" s="214">
        <v>13.177</v>
      </c>
      <c r="G52" s="214">
        <v>12.279</v>
      </c>
      <c r="H52" s="214">
        <v>11.815</v>
      </c>
    </row>
    <row r="53" spans="1:8">
      <c r="A53" t="s">
        <v>325</v>
      </c>
      <c r="B53" s="214">
        <v>0.83599999999999997</v>
      </c>
      <c r="C53" s="214">
        <v>1.31</v>
      </c>
      <c r="D53" s="214">
        <v>1.4870000000000001</v>
      </c>
      <c r="E53" s="214">
        <v>1.3660000000000001</v>
      </c>
      <c r="F53" s="214">
        <v>1.4610000000000001</v>
      </c>
      <c r="G53" s="214">
        <v>1.486</v>
      </c>
      <c r="H53" s="214">
        <v>1.5209999999999999</v>
      </c>
    </row>
    <row r="54" spans="1:8" ht="10.199999999999999" customHeight="1">
      <c r="A54" s="1" t="s">
        <v>3</v>
      </c>
      <c r="B54" s="202">
        <f t="shared" ref="B54:H54" si="4">SUM(B46:B53)</f>
        <v>12.750999999999999</v>
      </c>
      <c r="C54" s="202">
        <f t="shared" si="4"/>
        <v>14.094000000000001</v>
      </c>
      <c r="D54" s="202">
        <f t="shared" si="4"/>
        <v>17.343</v>
      </c>
      <c r="E54" s="202">
        <f t="shared" si="4"/>
        <v>16.175000000000001</v>
      </c>
      <c r="F54" s="202">
        <f t="shared" si="4"/>
        <v>16.704999999999998</v>
      </c>
      <c r="G54" s="202">
        <f t="shared" si="4"/>
        <v>15.73</v>
      </c>
      <c r="H54" s="202">
        <f t="shared" si="4"/>
        <v>15.32</v>
      </c>
    </row>
    <row r="55" spans="1:8" ht="13.2" customHeight="1">
      <c r="A55" s="107" t="s">
        <v>374</v>
      </c>
    </row>
    <row r="56" spans="1:8" ht="13.2" customHeight="1">
      <c r="A56" s="107" t="s">
        <v>540</v>
      </c>
    </row>
    <row r="57" spans="1:8" ht="10.199999999999999" customHeight="1">
      <c r="A57" s="107" t="s">
        <v>541</v>
      </c>
      <c r="F57" s="278"/>
      <c r="G57" s="278" t="s">
        <v>679</v>
      </c>
    </row>
  </sheetData>
  <phoneticPr fontId="0" type="noConversion"/>
  <pageMargins left="0.7" right="0.7" top="0.75" bottom="0.75" header="0.3" footer="0.3"/>
  <pageSetup scale="10" firstPageNumber="81" orientation="portrait" useFirstPageNumber="1" r:id="rId1"/>
  <headerFooter alignWithMargins="0">
    <oddFooter>&amp;C&amp;P
Oil Crops Yearbook/OCS-2018
March 2018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0"/>
  <sheetViews>
    <sheetView zoomScaleNormal="100" zoomScaleSheetLayoutView="100" workbookViewId="0">
      <selection activeCell="A105" sqref="A105"/>
    </sheetView>
  </sheetViews>
  <sheetFormatPr defaultRowHeight="10.199999999999999"/>
  <cols>
    <col min="1" max="1" width="10.28515625" customWidth="1"/>
    <col min="2" max="10" width="13.7109375" customWidth="1"/>
    <col min="12" max="12" width="21" bestFit="1" customWidth="1"/>
  </cols>
  <sheetData>
    <row r="1" spans="1:12">
      <c r="A1" s="136" t="s">
        <v>611</v>
      </c>
      <c r="B1" s="1"/>
      <c r="C1" s="1"/>
      <c r="D1" s="1"/>
      <c r="E1" s="1"/>
      <c r="F1" s="1"/>
      <c r="G1" s="1"/>
      <c r="H1" s="1"/>
      <c r="I1" s="1"/>
      <c r="J1" s="1"/>
    </row>
    <row r="2" spans="1:12">
      <c r="A2" t="s">
        <v>178</v>
      </c>
      <c r="B2" s="403" t="s">
        <v>119</v>
      </c>
      <c r="C2" s="404"/>
      <c r="D2" s="404"/>
      <c r="E2" s="405"/>
      <c r="F2" s="403" t="s">
        <v>117</v>
      </c>
      <c r="G2" s="404"/>
      <c r="H2" s="405"/>
      <c r="J2" s="9" t="s">
        <v>118</v>
      </c>
    </row>
    <row r="3" spans="1:12">
      <c r="A3" t="s">
        <v>100</v>
      </c>
      <c r="B3" s="363" t="s">
        <v>141</v>
      </c>
      <c r="E3" s="366"/>
      <c r="H3" s="366"/>
      <c r="I3" s="7" t="s">
        <v>143</v>
      </c>
      <c r="J3" s="7" t="s">
        <v>181</v>
      </c>
    </row>
    <row r="4" spans="1:12">
      <c r="A4" t="s">
        <v>140</v>
      </c>
      <c r="B4" s="364" t="s">
        <v>179</v>
      </c>
      <c r="C4" s="35" t="s">
        <v>180</v>
      </c>
      <c r="D4" s="35" t="s">
        <v>88</v>
      </c>
      <c r="E4" s="367" t="s">
        <v>3</v>
      </c>
      <c r="F4" s="35" t="s">
        <v>142</v>
      </c>
      <c r="G4" s="35" t="s">
        <v>90</v>
      </c>
      <c r="H4" s="372" t="s">
        <v>3</v>
      </c>
      <c r="I4" s="35" t="s">
        <v>179</v>
      </c>
      <c r="J4" s="7" t="s">
        <v>182</v>
      </c>
    </row>
    <row r="5" spans="1:12">
      <c r="A5" s="1"/>
      <c r="B5" s="365"/>
      <c r="C5" s="1"/>
      <c r="D5" s="1"/>
      <c r="E5" s="368"/>
      <c r="F5" s="1"/>
      <c r="G5" s="1"/>
      <c r="H5" s="368"/>
      <c r="I5" s="1"/>
      <c r="J5" s="9" t="s">
        <v>183</v>
      </c>
    </row>
    <row r="6" spans="1:12">
      <c r="C6" s="280"/>
      <c r="D6" s="280"/>
      <c r="E6" s="309" t="s">
        <v>201</v>
      </c>
      <c r="F6" s="280"/>
      <c r="G6" s="280"/>
      <c r="H6" s="280"/>
      <c r="I6" s="280"/>
      <c r="J6" s="7" t="s">
        <v>287</v>
      </c>
    </row>
    <row r="7" spans="1:12">
      <c r="B7" s="156"/>
      <c r="C7" s="156"/>
      <c r="D7" s="156"/>
      <c r="E7" s="156"/>
      <c r="F7" s="156"/>
      <c r="G7" s="156"/>
      <c r="H7" s="156"/>
      <c r="I7" s="156"/>
      <c r="J7" s="7"/>
    </row>
    <row r="8" spans="1:12">
      <c r="A8" s="10">
        <v>1980</v>
      </c>
      <c r="B8" s="36">
        <v>226</v>
      </c>
      <c r="C8" s="36">
        <v>24312</v>
      </c>
      <c r="D8" s="36">
        <v>0</v>
      </c>
      <c r="E8" s="36">
        <f>+B8+C8+D8</f>
        <v>24538</v>
      </c>
      <c r="F8" s="36">
        <f t="shared" ref="F8:F20" si="0">+H8-G8</f>
        <v>17591</v>
      </c>
      <c r="G8" s="36">
        <v>6784</v>
      </c>
      <c r="H8" s="36">
        <f t="shared" ref="H8:H46" si="1">+E8-I8</f>
        <v>24375</v>
      </c>
      <c r="I8" s="36">
        <v>163</v>
      </c>
      <c r="J8" s="31">
        <v>235.13</v>
      </c>
      <c r="K8" s="78"/>
      <c r="L8" s="78"/>
    </row>
    <row r="9" spans="1:12">
      <c r="A9" s="10">
        <v>1981</v>
      </c>
      <c r="B9" s="36">
        <f t="shared" ref="B9:B27" si="2">+I8</f>
        <v>163</v>
      </c>
      <c r="C9" s="36">
        <v>24634</v>
      </c>
      <c r="D9" s="36">
        <v>0</v>
      </c>
      <c r="E9" s="36">
        <f t="shared" ref="E9:E30" si="3">+B9+C9+D9</f>
        <v>24797</v>
      </c>
      <c r="F9" s="36">
        <f t="shared" si="0"/>
        <v>17714</v>
      </c>
      <c r="G9" s="36">
        <v>6908</v>
      </c>
      <c r="H9" s="36">
        <f t="shared" si="1"/>
        <v>24622</v>
      </c>
      <c r="I9" s="36">
        <v>175</v>
      </c>
      <c r="J9" s="31">
        <v>196.62</v>
      </c>
      <c r="K9" s="78"/>
      <c r="L9" s="78"/>
    </row>
    <row r="10" spans="1:12">
      <c r="A10" s="10">
        <v>1982</v>
      </c>
      <c r="B10" s="36">
        <f t="shared" si="2"/>
        <v>175</v>
      </c>
      <c r="C10" s="36">
        <v>26714</v>
      </c>
      <c r="D10" s="36">
        <v>0</v>
      </c>
      <c r="E10" s="36">
        <f t="shared" si="3"/>
        <v>26889</v>
      </c>
      <c r="F10" s="36">
        <f t="shared" si="0"/>
        <v>19306</v>
      </c>
      <c r="G10" s="36">
        <v>7109</v>
      </c>
      <c r="H10" s="36">
        <f t="shared" si="1"/>
        <v>26415</v>
      </c>
      <c r="I10" s="36">
        <v>474</v>
      </c>
      <c r="J10" s="31">
        <v>200.94</v>
      </c>
      <c r="K10" s="78"/>
      <c r="L10" s="78"/>
    </row>
    <row r="11" spans="1:12">
      <c r="A11" s="10">
        <v>1983</v>
      </c>
      <c r="B11" s="36">
        <f t="shared" si="2"/>
        <v>474</v>
      </c>
      <c r="C11" s="36">
        <v>22756</v>
      </c>
      <c r="D11" s="36">
        <v>0</v>
      </c>
      <c r="E11" s="36">
        <f t="shared" si="3"/>
        <v>23230</v>
      </c>
      <c r="F11" s="36">
        <f t="shared" si="0"/>
        <v>17615</v>
      </c>
      <c r="G11" s="36">
        <v>5360</v>
      </c>
      <c r="H11" s="36">
        <f t="shared" si="1"/>
        <v>22975</v>
      </c>
      <c r="I11" s="36">
        <v>255</v>
      </c>
      <c r="J11" s="31">
        <v>203.21</v>
      </c>
      <c r="K11" s="78"/>
      <c r="L11" s="78"/>
    </row>
    <row r="12" spans="1:12">
      <c r="A12" s="10">
        <v>1984</v>
      </c>
      <c r="B12" s="36">
        <f t="shared" si="2"/>
        <v>255</v>
      </c>
      <c r="C12" s="36">
        <v>24529</v>
      </c>
      <c r="D12" s="36">
        <v>0</v>
      </c>
      <c r="E12" s="36">
        <f t="shared" si="3"/>
        <v>24784</v>
      </c>
      <c r="F12" s="36">
        <f t="shared" si="0"/>
        <v>19518</v>
      </c>
      <c r="G12" s="36">
        <v>4879</v>
      </c>
      <c r="H12" s="36">
        <f t="shared" si="1"/>
        <v>24397</v>
      </c>
      <c r="I12" s="36">
        <v>387</v>
      </c>
      <c r="J12" s="31">
        <v>136.4</v>
      </c>
      <c r="K12" s="78"/>
      <c r="L12" s="78"/>
    </row>
    <row r="13" spans="1:12">
      <c r="A13" s="10">
        <v>1985</v>
      </c>
      <c r="B13" s="36">
        <f t="shared" si="2"/>
        <v>387</v>
      </c>
      <c r="C13" s="36">
        <v>24951</v>
      </c>
      <c r="D13" s="36">
        <v>0</v>
      </c>
      <c r="E13" s="36">
        <f t="shared" si="3"/>
        <v>25338</v>
      </c>
      <c r="F13" s="36">
        <f t="shared" si="0"/>
        <v>19090</v>
      </c>
      <c r="G13" s="36">
        <v>6036</v>
      </c>
      <c r="H13" s="36">
        <f t="shared" si="1"/>
        <v>25126</v>
      </c>
      <c r="I13" s="36">
        <v>212</v>
      </c>
      <c r="J13" s="31">
        <v>166.2</v>
      </c>
      <c r="K13" s="78"/>
      <c r="L13" s="78"/>
    </row>
    <row r="14" spans="1:12">
      <c r="A14" s="10">
        <v>1986</v>
      </c>
      <c r="B14" s="36">
        <f t="shared" si="2"/>
        <v>212</v>
      </c>
      <c r="C14" s="36">
        <v>27758</v>
      </c>
      <c r="D14" s="36">
        <v>0</v>
      </c>
      <c r="E14" s="36">
        <f t="shared" si="3"/>
        <v>27970</v>
      </c>
      <c r="F14" s="36">
        <f t="shared" si="0"/>
        <v>20435</v>
      </c>
      <c r="G14" s="36">
        <v>7295</v>
      </c>
      <c r="H14" s="36">
        <f t="shared" si="1"/>
        <v>27730</v>
      </c>
      <c r="I14" s="36">
        <v>240</v>
      </c>
      <c r="J14" s="31">
        <v>177.31</v>
      </c>
      <c r="K14" s="78"/>
      <c r="L14" s="78"/>
    </row>
    <row r="15" spans="1:12">
      <c r="A15" s="10">
        <v>1987</v>
      </c>
      <c r="B15" s="36">
        <f t="shared" si="2"/>
        <v>240</v>
      </c>
      <c r="C15" s="36">
        <v>28060</v>
      </c>
      <c r="D15" s="36">
        <v>0</v>
      </c>
      <c r="E15" s="36">
        <f t="shared" si="3"/>
        <v>28300</v>
      </c>
      <c r="F15" s="36">
        <f t="shared" si="0"/>
        <v>21323</v>
      </c>
      <c r="G15" s="36">
        <v>6824</v>
      </c>
      <c r="H15" s="36">
        <f t="shared" si="1"/>
        <v>28147</v>
      </c>
      <c r="I15" s="36">
        <v>153</v>
      </c>
      <c r="J15" s="31">
        <v>239.35</v>
      </c>
      <c r="K15" s="78"/>
      <c r="L15" s="78"/>
    </row>
    <row r="16" spans="1:12">
      <c r="A16" s="10">
        <v>1988</v>
      </c>
      <c r="B16" s="36">
        <f t="shared" si="2"/>
        <v>153</v>
      </c>
      <c r="C16" s="36">
        <v>24943</v>
      </c>
      <c r="D16" s="36">
        <v>17</v>
      </c>
      <c r="E16" s="36">
        <f t="shared" si="3"/>
        <v>25113</v>
      </c>
      <c r="F16" s="36">
        <f t="shared" si="0"/>
        <v>19497</v>
      </c>
      <c r="G16" s="36">
        <v>5443</v>
      </c>
      <c r="H16" s="36">
        <f t="shared" si="1"/>
        <v>24940</v>
      </c>
      <c r="I16" s="36">
        <v>173</v>
      </c>
      <c r="J16" s="31">
        <v>252.4</v>
      </c>
      <c r="K16" s="78"/>
      <c r="L16" s="78"/>
    </row>
    <row r="17" spans="1:12">
      <c r="A17" s="10">
        <v>1989</v>
      </c>
      <c r="B17" s="36">
        <f t="shared" si="2"/>
        <v>173</v>
      </c>
      <c r="C17" s="36">
        <v>27718.7</v>
      </c>
      <c r="D17" s="36">
        <v>36.779331835638004</v>
      </c>
      <c r="E17" s="36">
        <f t="shared" si="3"/>
        <v>27928.479331835639</v>
      </c>
      <c r="F17" s="36">
        <f t="shared" si="0"/>
        <v>22193.708355922441</v>
      </c>
      <c r="G17" s="36">
        <v>5416.4709759132002</v>
      </c>
      <c r="H17" s="36">
        <f t="shared" si="1"/>
        <v>27610.179331835639</v>
      </c>
      <c r="I17" s="36">
        <v>318.3</v>
      </c>
      <c r="J17" s="31">
        <v>186.48</v>
      </c>
      <c r="K17" s="78"/>
      <c r="L17" s="78"/>
    </row>
    <row r="18" spans="1:12">
      <c r="A18" s="10">
        <v>1990</v>
      </c>
      <c r="B18" s="36">
        <f t="shared" si="2"/>
        <v>318.3</v>
      </c>
      <c r="C18" s="36">
        <v>28325.200000000001</v>
      </c>
      <c r="D18" s="36">
        <v>49.638329783028006</v>
      </c>
      <c r="E18" s="36">
        <f t="shared" si="3"/>
        <v>28693.138329783029</v>
      </c>
      <c r="F18" s="36">
        <f t="shared" si="0"/>
        <v>22775.031716275229</v>
      </c>
      <c r="G18" s="36">
        <v>5633.1066135077999</v>
      </c>
      <c r="H18" s="36">
        <f t="shared" si="1"/>
        <v>28408.138329783029</v>
      </c>
      <c r="I18" s="36">
        <v>285</v>
      </c>
      <c r="J18" s="31">
        <v>181.38</v>
      </c>
      <c r="K18" s="78"/>
      <c r="L18" s="78"/>
    </row>
    <row r="19" spans="1:12">
      <c r="A19" s="10">
        <v>1991</v>
      </c>
      <c r="B19" s="36">
        <f t="shared" si="2"/>
        <v>285</v>
      </c>
      <c r="C19" s="36">
        <v>29830.799999999999</v>
      </c>
      <c r="D19" s="36">
        <v>68.861405648573992</v>
      </c>
      <c r="E19" s="36">
        <f t="shared" si="3"/>
        <v>30184.661405648574</v>
      </c>
      <c r="F19" s="36">
        <f t="shared" si="0"/>
        <v>22853.535142301371</v>
      </c>
      <c r="G19" s="36">
        <v>7101.1262633472015</v>
      </c>
      <c r="H19" s="36">
        <f t="shared" si="1"/>
        <v>29954.661405648574</v>
      </c>
      <c r="I19" s="36">
        <v>230</v>
      </c>
      <c r="J19" s="31">
        <v>189.21</v>
      </c>
      <c r="K19" s="78"/>
      <c r="L19" s="78"/>
    </row>
    <row r="20" spans="1:12">
      <c r="A20" s="10">
        <v>1992</v>
      </c>
      <c r="B20" s="36">
        <f t="shared" si="2"/>
        <v>230</v>
      </c>
      <c r="C20" s="36">
        <v>30364.194000000003</v>
      </c>
      <c r="D20" s="36">
        <v>94.648846034043018</v>
      </c>
      <c r="E20" s="36">
        <f t="shared" si="3"/>
        <v>30688.842846034047</v>
      </c>
      <c r="F20" s="36">
        <f t="shared" si="0"/>
        <v>24086.211071734746</v>
      </c>
      <c r="G20" s="36">
        <v>6398.1947742992998</v>
      </c>
      <c r="H20" s="36">
        <f t="shared" si="1"/>
        <v>30484.405846034046</v>
      </c>
      <c r="I20" s="36">
        <v>204.43700000000001</v>
      </c>
      <c r="J20" s="31">
        <v>193.75</v>
      </c>
      <c r="K20" s="78"/>
      <c r="L20" s="78"/>
    </row>
    <row r="21" spans="1:12">
      <c r="A21" s="10">
        <v>1993</v>
      </c>
      <c r="B21" s="36">
        <f t="shared" si="2"/>
        <v>204.43700000000001</v>
      </c>
      <c r="C21" s="36">
        <v>30514.129000000001</v>
      </c>
      <c r="D21" s="36">
        <v>74.635889379849004</v>
      </c>
      <c r="E21" s="36">
        <f t="shared" si="3"/>
        <v>30793.201889379852</v>
      </c>
      <c r="F21" s="36">
        <f t="shared" ref="F21:F27" si="4">+H21-G21</f>
        <v>25162.650019629851</v>
      </c>
      <c r="G21" s="36">
        <v>5480.9658697500008</v>
      </c>
      <c r="H21" s="36">
        <f t="shared" si="1"/>
        <v>30643.615889379853</v>
      </c>
      <c r="I21" s="36">
        <v>149.58600000000001</v>
      </c>
      <c r="J21" s="31">
        <v>192.86</v>
      </c>
      <c r="K21" s="78"/>
      <c r="L21" s="78"/>
    </row>
    <row r="22" spans="1:12">
      <c r="A22" s="10">
        <v>1994</v>
      </c>
      <c r="B22" s="36">
        <f t="shared" si="2"/>
        <v>149.58600000000001</v>
      </c>
      <c r="C22" s="36">
        <v>33269.410000000003</v>
      </c>
      <c r="D22" s="36">
        <v>70.64862656531399</v>
      </c>
      <c r="E22" s="36">
        <f t="shared" si="3"/>
        <v>33489.644626565321</v>
      </c>
      <c r="F22" s="36">
        <f t="shared" si="4"/>
        <v>26426.930730003318</v>
      </c>
      <c r="G22" s="36">
        <v>6839.3348965620016</v>
      </c>
      <c r="H22" s="36">
        <f t="shared" si="1"/>
        <v>33266.26562656532</v>
      </c>
      <c r="I22" s="36">
        <v>223.37900000000002</v>
      </c>
      <c r="J22" s="31">
        <v>162.6</v>
      </c>
      <c r="K22" s="78"/>
      <c r="L22" s="78"/>
    </row>
    <row r="23" spans="1:12">
      <c r="A23" s="10">
        <v>1995</v>
      </c>
      <c r="B23" s="36">
        <f t="shared" si="2"/>
        <v>223.37900000000002</v>
      </c>
      <c r="C23" s="36">
        <v>32527.040000000001</v>
      </c>
      <c r="D23" s="36">
        <v>99.704516069150984</v>
      </c>
      <c r="E23" s="36">
        <f t="shared" si="3"/>
        <v>32850.12351606915</v>
      </c>
      <c r="F23" s="36">
        <f t="shared" si="4"/>
        <v>26548.748873658253</v>
      </c>
      <c r="G23" s="36">
        <v>6088.9696424108997</v>
      </c>
      <c r="H23" s="36">
        <f t="shared" si="1"/>
        <v>32637.718516069152</v>
      </c>
      <c r="I23" s="36">
        <v>212.405</v>
      </c>
      <c r="J23" s="31">
        <v>235.9</v>
      </c>
      <c r="K23" s="78"/>
      <c r="L23" s="78"/>
    </row>
    <row r="24" spans="1:12">
      <c r="A24" s="10">
        <v>1996</v>
      </c>
      <c r="B24" s="36">
        <f t="shared" si="2"/>
        <v>212.405</v>
      </c>
      <c r="C24" s="36">
        <v>34211.215000000004</v>
      </c>
      <c r="D24" s="36">
        <v>119.20565208906899</v>
      </c>
      <c r="E24" s="36">
        <f t="shared" si="3"/>
        <v>34542.825652089072</v>
      </c>
      <c r="F24" s="36">
        <f t="shared" si="4"/>
        <v>27222.094393573771</v>
      </c>
      <c r="G24" s="36">
        <v>7111.2312585153013</v>
      </c>
      <c r="H24" s="36">
        <f t="shared" si="1"/>
        <v>34333.325652089072</v>
      </c>
      <c r="I24" s="36">
        <v>209.5</v>
      </c>
      <c r="J24" s="31">
        <v>270.89999999999998</v>
      </c>
      <c r="K24" s="78"/>
      <c r="L24" s="78"/>
    </row>
    <row r="25" spans="1:12">
      <c r="A25" s="10">
        <v>1997</v>
      </c>
      <c r="B25" s="36">
        <f t="shared" si="2"/>
        <v>209.5</v>
      </c>
      <c r="C25" s="36">
        <v>38176.416000000005</v>
      </c>
      <c r="D25" s="36">
        <v>66.181418643689994</v>
      </c>
      <c r="E25" s="36">
        <f t="shared" si="3"/>
        <v>38452.097418643694</v>
      </c>
      <c r="F25" s="36">
        <f t="shared" si="4"/>
        <v>28619.357623617791</v>
      </c>
      <c r="G25" s="36">
        <v>9614.672795025901</v>
      </c>
      <c r="H25" s="36">
        <f t="shared" si="1"/>
        <v>38234.030418643692</v>
      </c>
      <c r="I25" s="36">
        <v>218.06700000000001</v>
      </c>
      <c r="J25" s="31">
        <v>185.3</v>
      </c>
      <c r="K25" s="78"/>
      <c r="L25" s="78"/>
    </row>
    <row r="26" spans="1:12">
      <c r="A26" s="10">
        <v>1998</v>
      </c>
      <c r="B26" s="36">
        <f t="shared" si="2"/>
        <v>218.06700000000001</v>
      </c>
      <c r="C26" s="36">
        <v>37796.553</v>
      </c>
      <c r="D26" s="36">
        <v>111.73103331698699</v>
      </c>
      <c r="E26" s="36">
        <f t="shared" si="3"/>
        <v>38126.351033316991</v>
      </c>
      <c r="F26" s="36">
        <f t="shared" si="4"/>
        <v>30102.743509943888</v>
      </c>
      <c r="G26" s="36">
        <v>7693.3835233730997</v>
      </c>
      <c r="H26" s="36">
        <f t="shared" si="1"/>
        <v>37796.127033316989</v>
      </c>
      <c r="I26" s="36">
        <v>330.22399999999999</v>
      </c>
      <c r="J26" s="31">
        <v>138.55000000000001</v>
      </c>
      <c r="K26" s="78"/>
      <c r="L26" s="78"/>
    </row>
    <row r="27" spans="1:12">
      <c r="A27" s="10">
        <v>1999</v>
      </c>
      <c r="B27" s="36">
        <f t="shared" si="2"/>
        <v>330.22399999999999</v>
      </c>
      <c r="C27" s="36">
        <v>37591.152999999998</v>
      </c>
      <c r="D27" s="36">
        <v>71.143200441684016</v>
      </c>
      <c r="E27" s="36">
        <f t="shared" si="3"/>
        <v>37992.520200441686</v>
      </c>
      <c r="F27" s="36">
        <f t="shared" si="4"/>
        <v>30080.358195430188</v>
      </c>
      <c r="G27" s="36">
        <v>7619.2800050115002</v>
      </c>
      <c r="H27" s="36">
        <f t="shared" si="1"/>
        <v>37699.638200441688</v>
      </c>
      <c r="I27" s="36">
        <v>292.88200000000001</v>
      </c>
      <c r="J27" s="31">
        <v>167.7</v>
      </c>
      <c r="K27" s="78"/>
      <c r="L27" s="78"/>
    </row>
    <row r="28" spans="1:12">
      <c r="A28" s="10">
        <v>2000</v>
      </c>
      <c r="B28" s="74">
        <f t="shared" ref="B28:B33" si="5">+I27</f>
        <v>292.88200000000001</v>
      </c>
      <c r="C28" s="74">
        <v>39385.067000000003</v>
      </c>
      <c r="D28" s="74">
        <v>54.861085914894005</v>
      </c>
      <c r="E28" s="36">
        <f t="shared" si="3"/>
        <v>39732.810085914898</v>
      </c>
      <c r="F28" s="74">
        <f t="shared" ref="F28:F33" si="6">+H28-G28</f>
        <v>31264.490589662797</v>
      </c>
      <c r="G28" s="74">
        <v>8085.0224962521006</v>
      </c>
      <c r="H28" s="74">
        <f t="shared" si="1"/>
        <v>39349.513085914899</v>
      </c>
      <c r="I28" s="74">
        <v>383.29700000000003</v>
      </c>
      <c r="J28" s="75">
        <v>173.61</v>
      </c>
      <c r="K28" s="78"/>
      <c r="L28" s="78"/>
    </row>
    <row r="29" spans="1:12">
      <c r="A29" s="62">
        <v>2001</v>
      </c>
      <c r="B29" s="74">
        <f t="shared" si="5"/>
        <v>383.29700000000003</v>
      </c>
      <c r="C29" s="74">
        <v>40291.832000000002</v>
      </c>
      <c r="D29" s="74">
        <v>147.58826105721602</v>
      </c>
      <c r="E29" s="36">
        <f t="shared" si="3"/>
        <v>40822.717261057216</v>
      </c>
      <c r="F29" s="74">
        <f t="shared" si="6"/>
        <v>32567.438195617819</v>
      </c>
      <c r="G29" s="74">
        <v>8015.3060654394003</v>
      </c>
      <c r="H29" s="74">
        <f t="shared" si="1"/>
        <v>40582.744261057218</v>
      </c>
      <c r="I29" s="74">
        <v>239.97300000000001</v>
      </c>
      <c r="J29" s="75">
        <v>167.72</v>
      </c>
      <c r="K29" s="78"/>
      <c r="L29" s="78"/>
    </row>
    <row r="30" spans="1:12">
      <c r="A30" s="62">
        <v>2002</v>
      </c>
      <c r="B30" s="74">
        <f t="shared" si="5"/>
        <v>239.97300000000001</v>
      </c>
      <c r="C30" s="74">
        <v>38194.363999999994</v>
      </c>
      <c r="D30" s="74">
        <v>173.14371127424704</v>
      </c>
      <c r="E30" s="36">
        <f t="shared" si="3"/>
        <v>38607.480711274242</v>
      </c>
      <c r="F30" s="74">
        <f t="shared" si="6"/>
        <v>32073.560882858641</v>
      </c>
      <c r="G30" s="74">
        <v>6313.9708284155995</v>
      </c>
      <c r="H30" s="74">
        <f t="shared" si="1"/>
        <v>38387.531711274241</v>
      </c>
      <c r="I30" s="74">
        <v>219.94899999999998</v>
      </c>
      <c r="J30" s="75">
        <v>181.58</v>
      </c>
      <c r="K30" s="78"/>
      <c r="L30" s="78"/>
    </row>
    <row r="31" spans="1:12">
      <c r="A31" s="62">
        <v>2003</v>
      </c>
      <c r="B31" s="74">
        <f t="shared" si="5"/>
        <v>219.94899999999998</v>
      </c>
      <c r="C31" s="74">
        <v>36324.455000000002</v>
      </c>
      <c r="D31" s="74">
        <v>285.230620186029</v>
      </c>
      <c r="E31" s="36">
        <f t="shared" ref="E31:E36" si="7">+B31+C31+D31</f>
        <v>36829.634620186029</v>
      </c>
      <c r="F31" s="74">
        <f t="shared" si="6"/>
        <v>31449.478319528032</v>
      </c>
      <c r="G31" s="74">
        <v>5169.4193006579972</v>
      </c>
      <c r="H31" s="74">
        <f t="shared" si="1"/>
        <v>36618.897620186028</v>
      </c>
      <c r="I31" s="74">
        <v>210.73700000000002</v>
      </c>
      <c r="J31" s="75">
        <v>256.05</v>
      </c>
      <c r="K31" s="78"/>
      <c r="L31" s="78"/>
    </row>
    <row r="32" spans="1:12">
      <c r="A32" s="62">
        <v>2004</v>
      </c>
      <c r="B32" s="74">
        <f t="shared" si="5"/>
        <v>210.73700000000002</v>
      </c>
      <c r="C32" s="74">
        <v>40715.440999999999</v>
      </c>
      <c r="D32" s="74">
        <v>147.16075398670802</v>
      </c>
      <c r="E32" s="36">
        <f t="shared" si="7"/>
        <v>41073.338753986711</v>
      </c>
      <c r="F32" s="74">
        <f t="shared" si="6"/>
        <v>33561.139775323005</v>
      </c>
      <c r="G32" s="74">
        <v>7340.4029786637057</v>
      </c>
      <c r="H32" s="74">
        <f t="shared" si="1"/>
        <v>40901.542753986709</v>
      </c>
      <c r="I32" s="74">
        <v>171.79599999999999</v>
      </c>
      <c r="J32" s="75">
        <v>182.9</v>
      </c>
      <c r="K32" s="78"/>
      <c r="L32" s="78"/>
    </row>
    <row r="33" spans="1:10">
      <c r="A33" s="62">
        <v>2005</v>
      </c>
      <c r="B33" s="74">
        <f t="shared" si="5"/>
        <v>171.79599999999999</v>
      </c>
      <c r="C33" s="74">
        <v>41243.914000000004</v>
      </c>
      <c r="D33" s="74">
        <v>140.796088536789</v>
      </c>
      <c r="E33" s="36">
        <f t="shared" si="7"/>
        <v>41556.506088536793</v>
      </c>
      <c r="F33" s="74">
        <f t="shared" si="6"/>
        <v>33194.939385345788</v>
      </c>
      <c r="G33" s="74">
        <v>8047.8017031910049</v>
      </c>
      <c r="H33" s="74">
        <f t="shared" si="1"/>
        <v>41242.741088536794</v>
      </c>
      <c r="I33" s="74">
        <v>313.76499999999999</v>
      </c>
      <c r="J33" s="75">
        <v>174.17</v>
      </c>
    </row>
    <row r="34" spans="1:10">
      <c r="A34" s="62">
        <v>2006</v>
      </c>
      <c r="B34" s="74">
        <f t="shared" ref="B34:B39" si="8">+I33</f>
        <v>313.76499999999999</v>
      </c>
      <c r="C34" s="74">
        <v>43031.546570000006</v>
      </c>
      <c r="D34" s="74">
        <v>156.36249016825502</v>
      </c>
      <c r="E34" s="36">
        <f t="shared" si="7"/>
        <v>43501.674060168261</v>
      </c>
      <c r="F34" s="74">
        <f t="shared" ref="F34:F39" si="9">+H34-G34</f>
        <v>34354.753536586861</v>
      </c>
      <c r="G34" s="74">
        <v>8803.9515235814033</v>
      </c>
      <c r="H34" s="74">
        <f t="shared" si="1"/>
        <v>43158.705060168264</v>
      </c>
      <c r="I34" s="74">
        <v>342.96899999999999</v>
      </c>
      <c r="J34" s="75">
        <v>205.44</v>
      </c>
    </row>
    <row r="35" spans="1:10">
      <c r="A35" s="62">
        <v>2007</v>
      </c>
      <c r="B35" s="74">
        <f t="shared" si="8"/>
        <v>342.96899999999999</v>
      </c>
      <c r="C35" s="74">
        <f>'tab7'!C20</f>
        <v>42284.076460000004</v>
      </c>
      <c r="D35" s="74">
        <f>'tab7'!D20</f>
        <v>140.62193001265501</v>
      </c>
      <c r="E35" s="36">
        <f t="shared" si="7"/>
        <v>42767.667390012655</v>
      </c>
      <c r="F35" s="74">
        <f t="shared" si="9"/>
        <v>33231.85553778601</v>
      </c>
      <c r="G35" s="74">
        <f>'tab7'!G20</f>
        <v>9241.9678522266495</v>
      </c>
      <c r="H35" s="74">
        <f t="shared" si="1"/>
        <v>42473.823390012658</v>
      </c>
      <c r="I35" s="74">
        <f>'tab7'!I19</f>
        <v>293.84400000000005</v>
      </c>
      <c r="J35" s="75">
        <v>335.94</v>
      </c>
    </row>
    <row r="36" spans="1:10">
      <c r="A36" s="62">
        <v>2008</v>
      </c>
      <c r="B36" s="74">
        <f t="shared" si="8"/>
        <v>293.84400000000005</v>
      </c>
      <c r="C36" s="74">
        <v>39102.433099999995</v>
      </c>
      <c r="D36" s="74">
        <v>87.724852550370031</v>
      </c>
      <c r="E36" s="36">
        <f t="shared" si="7"/>
        <v>39484.001952550359</v>
      </c>
      <c r="F36" s="74">
        <f t="shared" si="9"/>
        <v>30752.203793197361</v>
      </c>
      <c r="G36" s="74">
        <f>'tab7'!G34</f>
        <v>8497.0671593529969</v>
      </c>
      <c r="H36" s="74">
        <f t="shared" si="1"/>
        <v>39249.27095255036</v>
      </c>
      <c r="I36" s="74">
        <f>'tab7'!I33</f>
        <v>234.73099999999999</v>
      </c>
      <c r="J36" s="75">
        <v>331.17</v>
      </c>
    </row>
    <row r="37" spans="1:10">
      <c r="A37" s="62">
        <v>2009</v>
      </c>
      <c r="B37" s="74">
        <f t="shared" si="8"/>
        <v>234.73099999999999</v>
      </c>
      <c r="C37" s="74">
        <v>41706.522250000002</v>
      </c>
      <c r="D37" s="74">
        <v>160.003937078181</v>
      </c>
      <c r="E37" s="36">
        <f t="shared" ref="E37:E42" si="10">+B37+C37+D37</f>
        <v>42101.257187078183</v>
      </c>
      <c r="F37" s="74">
        <f t="shared" si="9"/>
        <v>30640.234987746197</v>
      </c>
      <c r="G37" s="74">
        <f>'tab7'!G48</f>
        <v>11159.468199331988</v>
      </c>
      <c r="H37" s="74">
        <f t="shared" si="1"/>
        <v>41799.703187078187</v>
      </c>
      <c r="I37" s="74">
        <f>'tab7'!I47</f>
        <v>301.55399999999997</v>
      </c>
      <c r="J37" s="75">
        <v>311.27</v>
      </c>
    </row>
    <row r="38" spans="1:10">
      <c r="A38" s="62">
        <v>2010</v>
      </c>
      <c r="B38" s="74">
        <f t="shared" si="8"/>
        <v>301.55399999999997</v>
      </c>
      <c r="C38" s="74">
        <v>39250.930509999998</v>
      </c>
      <c r="D38" s="74">
        <v>179.6542058556</v>
      </c>
      <c r="E38" s="36">
        <f t="shared" si="10"/>
        <v>39732.138715855595</v>
      </c>
      <c r="F38" s="74">
        <f t="shared" si="9"/>
        <v>30301.193532282487</v>
      </c>
      <c r="G38" s="74">
        <v>9080.9451835731088</v>
      </c>
      <c r="H38" s="74">
        <f t="shared" si="1"/>
        <v>39382.138715855595</v>
      </c>
      <c r="I38" s="74">
        <f>'tab7'!I61</f>
        <v>350</v>
      </c>
      <c r="J38" s="75">
        <v>345.52</v>
      </c>
    </row>
    <row r="39" spans="1:10">
      <c r="A39" s="62">
        <v>2011</v>
      </c>
      <c r="B39" s="74">
        <f t="shared" si="8"/>
        <v>350</v>
      </c>
      <c r="C39" s="74">
        <v>41035.722435549993</v>
      </c>
      <c r="D39" s="74">
        <v>215.849014134957</v>
      </c>
      <c r="E39" s="36">
        <f t="shared" si="10"/>
        <v>41601.571449684947</v>
      </c>
      <c r="F39" s="74">
        <f t="shared" si="9"/>
        <v>31551.853705135592</v>
      </c>
      <c r="G39" s="74">
        <v>9749.6833304243519</v>
      </c>
      <c r="H39" s="74">
        <f t="shared" si="1"/>
        <v>41301.537035559944</v>
      </c>
      <c r="I39" s="74">
        <v>300.03441412499996</v>
      </c>
      <c r="J39" s="75">
        <v>395.53</v>
      </c>
    </row>
    <row r="40" spans="1:10">
      <c r="A40" s="62">
        <v>2012</v>
      </c>
      <c r="B40" s="74">
        <f>+I39</f>
        <v>300.03441412499996</v>
      </c>
      <c r="C40" s="74">
        <v>39875.164675500004</v>
      </c>
      <c r="D40" s="74">
        <v>244.78521801734703</v>
      </c>
      <c r="E40" s="36">
        <f t="shared" si="10"/>
        <v>40419.984307642357</v>
      </c>
      <c r="F40" s="74">
        <f t="shared" ref="F40:F46" si="11">+H40-G40</f>
        <v>28999.028080074357</v>
      </c>
      <c r="G40" s="74">
        <v>11146</v>
      </c>
      <c r="H40" s="74">
        <f t="shared" si="1"/>
        <v>40145.028080074357</v>
      </c>
      <c r="I40" s="74">
        <v>274.95622756800003</v>
      </c>
      <c r="J40" s="75">
        <v>468.11</v>
      </c>
    </row>
    <row r="41" spans="1:10">
      <c r="A41" s="62">
        <v>2013</v>
      </c>
      <c r="B41" s="74">
        <f t="shared" ref="B41:B46" si="12">I40</f>
        <v>274.95622756800003</v>
      </c>
      <c r="C41" s="74">
        <v>40684.650893000005</v>
      </c>
      <c r="D41" s="74">
        <v>382.64782108858202</v>
      </c>
      <c r="E41" s="36">
        <f t="shared" si="10"/>
        <v>41342.254941656589</v>
      </c>
      <c r="F41" s="74">
        <f t="shared" si="11"/>
        <v>29514.121747508303</v>
      </c>
      <c r="G41" s="74">
        <v>11578.133194148284</v>
      </c>
      <c r="H41" s="74">
        <f t="shared" si="1"/>
        <v>41092.254941656589</v>
      </c>
      <c r="I41" s="74">
        <v>250</v>
      </c>
      <c r="J41" s="75">
        <v>489.94</v>
      </c>
    </row>
    <row r="42" spans="1:10">
      <c r="A42" s="62">
        <v>2014</v>
      </c>
      <c r="B42" s="74">
        <f t="shared" si="12"/>
        <v>250</v>
      </c>
      <c r="C42" s="200">
        <v>45062</v>
      </c>
      <c r="D42" s="200">
        <v>332.95030271640906</v>
      </c>
      <c r="E42" s="36">
        <f t="shared" si="10"/>
        <v>45644.95030271641</v>
      </c>
      <c r="F42" s="74">
        <f t="shared" si="11"/>
        <v>32277.093526243123</v>
      </c>
      <c r="G42" s="200">
        <v>13107.392776473285</v>
      </c>
      <c r="H42" s="74">
        <f t="shared" si="1"/>
        <v>45384.48630271641</v>
      </c>
      <c r="I42" s="200">
        <v>260.464</v>
      </c>
      <c r="J42" s="205">
        <v>368.49</v>
      </c>
    </row>
    <row r="43" spans="1:10">
      <c r="A43" s="62">
        <v>2015</v>
      </c>
      <c r="B43" s="74">
        <f t="shared" si="12"/>
        <v>260.464</v>
      </c>
      <c r="C43" s="200">
        <f>'tab7'!C76</f>
        <v>44671.661999999989</v>
      </c>
      <c r="D43" s="200">
        <f>'tab7'!D76</f>
        <v>403.42275683539208</v>
      </c>
      <c r="E43" s="36">
        <f>+B43+C43+D43</f>
        <v>45335.548756835378</v>
      </c>
      <c r="F43" s="74">
        <f t="shared" si="11"/>
        <v>33117.813108550698</v>
      </c>
      <c r="G43" s="200">
        <f>'tab7'!G76</f>
        <v>11953.849648284682</v>
      </c>
      <c r="H43" s="74">
        <f t="shared" si="1"/>
        <v>45071.66275683538</v>
      </c>
      <c r="I43" s="200">
        <f>'tab7'!I75</f>
        <v>263.88600000000002</v>
      </c>
      <c r="J43" s="205">
        <v>324.56</v>
      </c>
    </row>
    <row r="44" spans="1:10">
      <c r="A44" s="62">
        <v>2016</v>
      </c>
      <c r="B44" s="74">
        <f t="shared" si="12"/>
        <v>263.88600000000002</v>
      </c>
      <c r="C44" s="200">
        <f>'tab7'!C90</f>
        <v>44787.017</v>
      </c>
      <c r="D44" s="200">
        <f>'tab7'!D90</f>
        <v>349.553099354697</v>
      </c>
      <c r="E44" s="36">
        <f>+B44+C44+D44</f>
        <v>45400.456099354698</v>
      </c>
      <c r="F44" s="74">
        <f t="shared" si="11"/>
        <v>33419.951499752002</v>
      </c>
      <c r="G44" s="200">
        <f>'tab7'!G90</f>
        <v>11579.874599602701</v>
      </c>
      <c r="H44" s="74">
        <f t="shared" si="1"/>
        <v>44999.826099354701</v>
      </c>
      <c r="I44" s="200">
        <f>'tab7'!I89</f>
        <v>400.63</v>
      </c>
      <c r="J44" s="205">
        <v>316.88</v>
      </c>
    </row>
    <row r="45" spans="1:10">
      <c r="A45" s="115" t="s">
        <v>571</v>
      </c>
      <c r="B45" s="74">
        <f t="shared" si="12"/>
        <v>400.63</v>
      </c>
      <c r="C45" s="200">
        <v>49225.606000000007</v>
      </c>
      <c r="D45" s="200">
        <v>300</v>
      </c>
      <c r="E45" s="74">
        <f>+B45+C45+D45</f>
        <v>49926.236000000004</v>
      </c>
      <c r="F45" s="74">
        <f t="shared" si="11"/>
        <v>36971.236000000004</v>
      </c>
      <c r="G45" s="200">
        <v>12400</v>
      </c>
      <c r="H45" s="74">
        <f t="shared" si="1"/>
        <v>49371.236000000004</v>
      </c>
      <c r="I45" s="200">
        <v>555</v>
      </c>
      <c r="J45" s="205">
        <v>345.02</v>
      </c>
    </row>
    <row r="46" spans="1:10">
      <c r="A46" s="118" t="s">
        <v>625</v>
      </c>
      <c r="B46" s="37">
        <f t="shared" si="12"/>
        <v>555</v>
      </c>
      <c r="C46" s="199">
        <v>49147</v>
      </c>
      <c r="D46" s="199">
        <v>450</v>
      </c>
      <c r="E46" s="37">
        <f>+B46+C46+D46</f>
        <v>50152</v>
      </c>
      <c r="F46" s="37">
        <f t="shared" si="11"/>
        <v>35952</v>
      </c>
      <c r="G46" s="199">
        <v>13750</v>
      </c>
      <c r="H46" s="37">
        <f t="shared" si="1"/>
        <v>49702</v>
      </c>
      <c r="I46" s="199">
        <v>450</v>
      </c>
      <c r="J46" s="313" t="s">
        <v>658</v>
      </c>
    </row>
    <row r="47" spans="1:10" ht="13.2" customHeight="1">
      <c r="A47" s="107" t="s">
        <v>368</v>
      </c>
    </row>
    <row r="48" spans="1:10" ht="13.2" customHeight="1">
      <c r="A48" s="107" t="s">
        <v>515</v>
      </c>
    </row>
    <row r="49" spans="1:10" ht="13.2" customHeight="1">
      <c r="A49" s="144" t="s">
        <v>516</v>
      </c>
    </row>
    <row r="50" spans="1:10">
      <c r="J50" s="270" t="s">
        <v>679</v>
      </c>
    </row>
  </sheetData>
  <mergeCells count="2">
    <mergeCell ref="B2:E2"/>
    <mergeCell ref="F2:H2"/>
  </mergeCells>
  <phoneticPr fontId="0" type="noConversion"/>
  <pageMargins left="0.7" right="0.7" top="0.75" bottom="0.75" header="0.3" footer="0.3"/>
  <pageSetup scale="80" firstPageNumber="31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9"/>
  <sheetViews>
    <sheetView zoomScale="110" zoomScaleNormal="110" zoomScaleSheetLayoutView="90" workbookViewId="0">
      <selection activeCell="A105" sqref="A105"/>
    </sheetView>
  </sheetViews>
  <sheetFormatPr defaultRowHeight="10.199999999999999"/>
  <cols>
    <col min="1" max="1" width="9.7109375" customWidth="1"/>
    <col min="2" max="11" width="12.7109375" customWidth="1"/>
  </cols>
  <sheetData>
    <row r="1" spans="1:11">
      <c r="A1" s="136" t="s">
        <v>612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t="s">
        <v>178</v>
      </c>
      <c r="B2" s="403" t="s">
        <v>119</v>
      </c>
      <c r="C2" s="404"/>
      <c r="D2" s="404"/>
      <c r="E2" s="405"/>
      <c r="F2" s="279"/>
      <c r="G2" s="298" t="s">
        <v>117</v>
      </c>
      <c r="H2" s="279"/>
      <c r="I2" s="279"/>
      <c r="K2" s="9" t="s">
        <v>118</v>
      </c>
    </row>
    <row r="3" spans="1:11">
      <c r="A3" t="s">
        <v>100</v>
      </c>
      <c r="B3" s="363" t="s">
        <v>141</v>
      </c>
      <c r="E3" s="366"/>
      <c r="F3" s="373" t="s">
        <v>142</v>
      </c>
      <c r="G3" s="281"/>
      <c r="I3" s="366"/>
      <c r="J3" s="7" t="s">
        <v>143</v>
      </c>
      <c r="K3" s="7" t="s">
        <v>184</v>
      </c>
    </row>
    <row r="4" spans="1:11">
      <c r="A4" s="1" t="s">
        <v>140</v>
      </c>
      <c r="B4" s="371" t="s">
        <v>110</v>
      </c>
      <c r="C4" s="283" t="s">
        <v>66</v>
      </c>
      <c r="D4" s="178" t="s">
        <v>88</v>
      </c>
      <c r="E4" s="369" t="s">
        <v>3</v>
      </c>
      <c r="F4" s="374" t="s">
        <v>3</v>
      </c>
      <c r="G4" s="283" t="s">
        <v>467</v>
      </c>
      <c r="H4" s="283" t="s">
        <v>90</v>
      </c>
      <c r="I4" s="369" t="s">
        <v>3</v>
      </c>
      <c r="J4" s="283" t="s">
        <v>110</v>
      </c>
      <c r="K4" s="283" t="s">
        <v>182</v>
      </c>
    </row>
    <row r="5" spans="1:11">
      <c r="F5" s="284" t="s">
        <v>91</v>
      </c>
      <c r="K5" s="35" t="s">
        <v>453</v>
      </c>
    </row>
    <row r="6" spans="1:11">
      <c r="K6" s="284"/>
    </row>
    <row r="7" spans="1:11">
      <c r="A7" s="10">
        <v>1980</v>
      </c>
      <c r="B7" s="36">
        <v>1210</v>
      </c>
      <c r="C7" s="36">
        <v>11270.18</v>
      </c>
      <c r="D7" s="36">
        <v>0.01</v>
      </c>
      <c r="E7" s="36">
        <f t="shared" ref="E7:E30" si="0">+B7+C7+D7</f>
        <v>12480.19</v>
      </c>
      <c r="F7" s="36">
        <f t="shared" ref="F7:F28" si="1">+I7-H7</f>
        <v>9113.0720000000001</v>
      </c>
      <c r="G7" s="142" t="s">
        <v>443</v>
      </c>
      <c r="H7" s="36">
        <v>1631</v>
      </c>
      <c r="I7" s="36">
        <f t="shared" ref="I7:I43" si="2">+E7-J7</f>
        <v>10744.072</v>
      </c>
      <c r="J7" s="36">
        <v>1736.1179999999999</v>
      </c>
      <c r="K7" s="31">
        <v>22.73</v>
      </c>
    </row>
    <row r="8" spans="1:11">
      <c r="A8" s="10">
        <v>1981</v>
      </c>
      <c r="B8" s="36">
        <f t="shared" ref="B8:B26" si="3">+J7</f>
        <v>1736.1179999999999</v>
      </c>
      <c r="C8" s="36">
        <v>10979.424999999999</v>
      </c>
      <c r="D8" s="36">
        <v>2.8000000000000001E-2</v>
      </c>
      <c r="E8" s="36">
        <f t="shared" si="0"/>
        <v>12715.571</v>
      </c>
      <c r="F8" s="36">
        <f t="shared" si="1"/>
        <v>9536.0229999999992</v>
      </c>
      <c r="G8" s="142" t="s">
        <v>443</v>
      </c>
      <c r="H8" s="36">
        <v>2077</v>
      </c>
      <c r="I8" s="36">
        <f t="shared" si="2"/>
        <v>11613.022999999999</v>
      </c>
      <c r="J8" s="36">
        <v>1102.548</v>
      </c>
      <c r="K8" s="31">
        <v>18.95</v>
      </c>
    </row>
    <row r="9" spans="1:11">
      <c r="A9" s="10">
        <v>1982</v>
      </c>
      <c r="B9" s="36">
        <f t="shared" si="3"/>
        <v>1102.548</v>
      </c>
      <c r="C9" s="36">
        <v>12040.358</v>
      </c>
      <c r="D9" s="36">
        <v>9.1999999999999998E-2</v>
      </c>
      <c r="E9" s="36">
        <f t="shared" si="0"/>
        <v>13142.998000000001</v>
      </c>
      <c r="F9" s="36">
        <f t="shared" si="1"/>
        <v>9857.0520000000015</v>
      </c>
      <c r="G9" s="142" t="s">
        <v>443</v>
      </c>
      <c r="H9" s="36">
        <v>2025</v>
      </c>
      <c r="I9" s="36">
        <f t="shared" si="2"/>
        <v>11882.052000000001</v>
      </c>
      <c r="J9" s="36">
        <v>1260.9459999999999</v>
      </c>
      <c r="K9" s="31">
        <v>20.62</v>
      </c>
    </row>
    <row r="10" spans="1:11">
      <c r="A10" s="10">
        <v>1983</v>
      </c>
      <c r="B10" s="36">
        <f t="shared" si="3"/>
        <v>1260.9459999999999</v>
      </c>
      <c r="C10" s="36">
        <v>10862.793</v>
      </c>
      <c r="D10" s="36">
        <v>7.9000000000000001E-2</v>
      </c>
      <c r="E10" s="36">
        <f t="shared" si="0"/>
        <v>12123.817999999999</v>
      </c>
      <c r="F10" s="36">
        <f t="shared" si="1"/>
        <v>9579.3089999999993</v>
      </c>
      <c r="G10" s="142" t="s">
        <v>443</v>
      </c>
      <c r="H10" s="36">
        <v>1824</v>
      </c>
      <c r="I10" s="36">
        <f t="shared" si="2"/>
        <v>11403.308999999999</v>
      </c>
      <c r="J10" s="36">
        <v>720.50900000000001</v>
      </c>
      <c r="K10" s="31">
        <v>30.55</v>
      </c>
    </row>
    <row r="11" spans="1:11">
      <c r="A11" s="10">
        <v>1984</v>
      </c>
      <c r="B11" s="36">
        <f t="shared" si="3"/>
        <v>720.50900000000001</v>
      </c>
      <c r="C11" s="36">
        <v>11467.944</v>
      </c>
      <c r="D11" s="36">
        <v>20.401</v>
      </c>
      <c r="E11" s="36">
        <f t="shared" si="0"/>
        <v>12208.853999999999</v>
      </c>
      <c r="F11" s="36">
        <f t="shared" si="1"/>
        <v>9916.3599999999988</v>
      </c>
      <c r="G11" s="142" t="s">
        <v>443</v>
      </c>
      <c r="H11" s="36">
        <v>1660</v>
      </c>
      <c r="I11" s="36">
        <f t="shared" si="2"/>
        <v>11576.359999999999</v>
      </c>
      <c r="J11" s="36">
        <v>632.49400000000003</v>
      </c>
      <c r="K11" s="31">
        <v>29.52</v>
      </c>
    </row>
    <row r="12" spans="1:11">
      <c r="A12" s="10">
        <v>1985</v>
      </c>
      <c r="B12" s="36">
        <f t="shared" si="3"/>
        <v>632.49400000000003</v>
      </c>
      <c r="C12" s="36">
        <v>11617.272000000001</v>
      </c>
      <c r="D12" s="36">
        <v>7.7030000000000003</v>
      </c>
      <c r="E12" s="36">
        <f t="shared" si="0"/>
        <v>12257.469000000001</v>
      </c>
      <c r="F12" s="36">
        <f t="shared" si="1"/>
        <v>10053.876</v>
      </c>
      <c r="G12" s="142" t="s">
        <v>443</v>
      </c>
      <c r="H12" s="36">
        <v>1257</v>
      </c>
      <c r="I12" s="36">
        <f t="shared" si="2"/>
        <v>11310.876</v>
      </c>
      <c r="J12" s="36">
        <v>946.59299999999996</v>
      </c>
      <c r="K12" s="31">
        <v>18.02</v>
      </c>
    </row>
    <row r="13" spans="1:11">
      <c r="A13" s="10">
        <v>1986</v>
      </c>
      <c r="B13" s="36">
        <f t="shared" si="3"/>
        <v>946.59299999999996</v>
      </c>
      <c r="C13" s="36">
        <v>12783.103999999999</v>
      </c>
      <c r="D13" s="36">
        <v>15</v>
      </c>
      <c r="E13" s="36">
        <f t="shared" si="0"/>
        <v>13744.697</v>
      </c>
      <c r="F13" s="36">
        <f t="shared" si="1"/>
        <v>10832.699000000001</v>
      </c>
      <c r="G13" s="142" t="s">
        <v>443</v>
      </c>
      <c r="H13" s="36">
        <v>1187</v>
      </c>
      <c r="I13" s="36">
        <f t="shared" si="2"/>
        <v>12019.699000000001</v>
      </c>
      <c r="J13" s="36">
        <v>1724.998</v>
      </c>
      <c r="K13" s="31">
        <v>15.36</v>
      </c>
    </row>
    <row r="14" spans="1:11">
      <c r="A14" s="10">
        <v>1987</v>
      </c>
      <c r="B14" s="36">
        <f t="shared" si="3"/>
        <v>1724.998</v>
      </c>
      <c r="C14" s="36">
        <v>12974.541999999999</v>
      </c>
      <c r="D14" s="36">
        <v>193.87220000000002</v>
      </c>
      <c r="E14" s="36">
        <f t="shared" si="0"/>
        <v>14893.412199999999</v>
      </c>
      <c r="F14" s="36">
        <f t="shared" si="1"/>
        <v>10927.173199999999</v>
      </c>
      <c r="G14" s="142" t="s">
        <v>443</v>
      </c>
      <c r="H14" s="36">
        <v>1874</v>
      </c>
      <c r="I14" s="36">
        <f t="shared" si="2"/>
        <v>12801.173199999999</v>
      </c>
      <c r="J14" s="36">
        <v>2092.239</v>
      </c>
      <c r="K14" s="31">
        <v>22.67</v>
      </c>
    </row>
    <row r="15" spans="1:11">
      <c r="A15" s="10">
        <v>1988</v>
      </c>
      <c r="B15" s="36">
        <f t="shared" si="3"/>
        <v>2092.239</v>
      </c>
      <c r="C15" s="36">
        <v>11737.045</v>
      </c>
      <c r="D15" s="36">
        <v>137.67225223063201</v>
      </c>
      <c r="E15" s="36">
        <f t="shared" si="0"/>
        <v>13966.956252230631</v>
      </c>
      <c r="F15" s="36">
        <f t="shared" si="1"/>
        <v>10590.539252230632</v>
      </c>
      <c r="G15" s="142" t="s">
        <v>443</v>
      </c>
      <c r="H15" s="36">
        <v>1661</v>
      </c>
      <c r="I15" s="36">
        <f t="shared" si="2"/>
        <v>12251.539252230632</v>
      </c>
      <c r="J15" s="36">
        <v>1715.4169999999999</v>
      </c>
      <c r="K15" s="31">
        <v>21.09</v>
      </c>
    </row>
    <row r="16" spans="1:11">
      <c r="A16" s="10">
        <v>1989</v>
      </c>
      <c r="B16" s="36">
        <f t="shared" si="3"/>
        <v>1715.4169999999999</v>
      </c>
      <c r="C16" s="36">
        <v>13003.582</v>
      </c>
      <c r="D16" s="36">
        <v>21.515940000000004</v>
      </c>
      <c r="E16" s="36">
        <f t="shared" si="0"/>
        <v>14740.514939999999</v>
      </c>
      <c r="F16" s="36">
        <f t="shared" si="1"/>
        <v>12082.49094</v>
      </c>
      <c r="G16" s="142" t="s">
        <v>443</v>
      </c>
      <c r="H16" s="36">
        <v>1353</v>
      </c>
      <c r="I16" s="36">
        <f t="shared" si="2"/>
        <v>13435.49094</v>
      </c>
      <c r="J16" s="36">
        <v>1305.0239999999999</v>
      </c>
      <c r="K16" s="31">
        <v>22.28</v>
      </c>
    </row>
    <row r="17" spans="1:11">
      <c r="A17" s="10">
        <v>1990</v>
      </c>
      <c r="B17" s="36">
        <f t="shared" si="3"/>
        <v>1305.0239999999999</v>
      </c>
      <c r="C17" s="36">
        <v>13408.047</v>
      </c>
      <c r="D17" s="36">
        <v>17.351088417648</v>
      </c>
      <c r="E17" s="36">
        <f t="shared" si="0"/>
        <v>14730.422088417648</v>
      </c>
      <c r="F17" s="36">
        <f t="shared" si="1"/>
        <v>12136.128088417649</v>
      </c>
      <c r="G17" s="142" t="s">
        <v>443</v>
      </c>
      <c r="H17" s="36">
        <v>808</v>
      </c>
      <c r="I17" s="36">
        <f t="shared" si="2"/>
        <v>12944.128088417649</v>
      </c>
      <c r="J17" s="36">
        <v>1786.2940000000001</v>
      </c>
      <c r="K17" s="31">
        <v>20.98</v>
      </c>
    </row>
    <row r="18" spans="1:11">
      <c r="A18" s="10">
        <v>1991</v>
      </c>
      <c r="B18" s="36">
        <f t="shared" si="3"/>
        <v>1786.2940000000001</v>
      </c>
      <c r="C18" s="36">
        <v>14344.699000000001</v>
      </c>
      <c r="D18" s="36">
        <v>0.54088982316800005</v>
      </c>
      <c r="E18" s="36">
        <f t="shared" si="0"/>
        <v>16131.533889823168</v>
      </c>
      <c r="F18" s="36">
        <f t="shared" si="1"/>
        <v>12248.151889823168</v>
      </c>
      <c r="G18" s="142" t="s">
        <v>443</v>
      </c>
      <c r="H18" s="36">
        <v>1644</v>
      </c>
      <c r="I18" s="36">
        <f t="shared" si="2"/>
        <v>13892.151889823168</v>
      </c>
      <c r="J18" s="36">
        <v>2239.3820000000001</v>
      </c>
      <c r="K18" s="31">
        <v>19.13</v>
      </c>
    </row>
    <row r="19" spans="1:11">
      <c r="A19" s="10">
        <v>1992</v>
      </c>
      <c r="B19" s="36">
        <f t="shared" si="3"/>
        <v>2239.3820000000001</v>
      </c>
      <c r="C19" s="36">
        <v>13778.489</v>
      </c>
      <c r="D19" s="36">
        <v>9.949287</v>
      </c>
      <c r="E19" s="36">
        <f t="shared" si="0"/>
        <v>16027.820286999999</v>
      </c>
      <c r="F19" s="36">
        <f t="shared" si="1"/>
        <v>13012.032286999998</v>
      </c>
      <c r="G19" s="142" t="s">
        <v>443</v>
      </c>
      <c r="H19" s="36">
        <v>1461</v>
      </c>
      <c r="I19" s="36">
        <f t="shared" si="2"/>
        <v>14473.032286999998</v>
      </c>
      <c r="J19" s="36">
        <v>1554.788</v>
      </c>
      <c r="K19" s="31">
        <v>21.24</v>
      </c>
    </row>
    <row r="20" spans="1:11">
      <c r="A20" s="10">
        <v>1993</v>
      </c>
      <c r="B20" s="36">
        <f t="shared" si="3"/>
        <v>1554.788</v>
      </c>
      <c r="C20" s="36">
        <v>13951.210999999999</v>
      </c>
      <c r="D20" s="36">
        <v>67.638728</v>
      </c>
      <c r="E20" s="36">
        <f t="shared" si="0"/>
        <v>15573.637728</v>
      </c>
      <c r="F20" s="36">
        <f t="shared" si="1"/>
        <v>12939.544727999999</v>
      </c>
      <c r="G20" s="142" t="s">
        <v>443</v>
      </c>
      <c r="H20" s="36">
        <v>1531</v>
      </c>
      <c r="I20" s="36">
        <f t="shared" si="2"/>
        <v>14470.544727999999</v>
      </c>
      <c r="J20" s="36">
        <v>1103.0930000000001</v>
      </c>
      <c r="K20" s="31">
        <v>26.96</v>
      </c>
    </row>
    <row r="21" spans="1:11">
      <c r="A21" s="10">
        <v>1994</v>
      </c>
      <c r="B21" s="36">
        <f t="shared" si="3"/>
        <v>1103.0930000000001</v>
      </c>
      <c r="C21" s="36">
        <v>15612.856</v>
      </c>
      <c r="D21" s="36">
        <v>17.2667122193</v>
      </c>
      <c r="E21" s="36">
        <f t="shared" si="0"/>
        <v>16733.215712219302</v>
      </c>
      <c r="F21" s="36">
        <f t="shared" si="1"/>
        <v>12913.532712219301</v>
      </c>
      <c r="G21" s="142" t="s">
        <v>443</v>
      </c>
      <c r="H21" s="36">
        <v>2683</v>
      </c>
      <c r="I21" s="36">
        <f t="shared" si="2"/>
        <v>15596.532712219301</v>
      </c>
      <c r="J21" s="36">
        <v>1136.683</v>
      </c>
      <c r="K21" s="31">
        <v>27.51</v>
      </c>
    </row>
    <row r="22" spans="1:11">
      <c r="A22" s="10">
        <v>1995</v>
      </c>
      <c r="B22" s="36">
        <f t="shared" si="3"/>
        <v>1136.683</v>
      </c>
      <c r="C22" s="36">
        <v>15239.949000000001</v>
      </c>
      <c r="D22" s="36">
        <v>95.399291646666015</v>
      </c>
      <c r="E22" s="36">
        <f t="shared" si="0"/>
        <v>16472.031291646668</v>
      </c>
      <c r="F22" s="36">
        <f t="shared" si="1"/>
        <v>13464.780301804049</v>
      </c>
      <c r="G22" s="142" t="s">
        <v>443</v>
      </c>
      <c r="H22" s="36">
        <v>991.80698984262006</v>
      </c>
      <c r="I22" s="36">
        <f t="shared" si="2"/>
        <v>14456.587291646669</v>
      </c>
      <c r="J22" s="36">
        <v>2015.444</v>
      </c>
      <c r="K22" s="31">
        <v>24.7</v>
      </c>
    </row>
    <row r="23" spans="1:11">
      <c r="A23" s="10">
        <v>1996</v>
      </c>
      <c r="B23" s="36">
        <f t="shared" si="3"/>
        <v>2015.444</v>
      </c>
      <c r="C23" s="36">
        <v>15752.1</v>
      </c>
      <c r="D23" s="36">
        <v>53.115589674126007</v>
      </c>
      <c r="E23" s="36">
        <f t="shared" si="0"/>
        <v>17820.659589674127</v>
      </c>
      <c r="F23" s="36">
        <f t="shared" si="1"/>
        <v>14267.137620924283</v>
      </c>
      <c r="G23" s="142" t="s">
        <v>443</v>
      </c>
      <c r="H23" s="36">
        <v>2033.3389687498443</v>
      </c>
      <c r="I23" s="36">
        <f t="shared" si="2"/>
        <v>16300.476589674126</v>
      </c>
      <c r="J23" s="36">
        <v>1520.183</v>
      </c>
      <c r="K23" s="31">
        <v>22.51</v>
      </c>
    </row>
    <row r="24" spans="1:11">
      <c r="A24" s="10">
        <v>1997</v>
      </c>
      <c r="B24" s="36">
        <f t="shared" si="3"/>
        <v>1520.183</v>
      </c>
      <c r="C24" s="36">
        <v>18142.795999999998</v>
      </c>
      <c r="D24" s="36">
        <v>60.375334962978002</v>
      </c>
      <c r="E24" s="36">
        <f t="shared" si="0"/>
        <v>19723.354334962976</v>
      </c>
      <c r="F24" s="36">
        <f t="shared" si="1"/>
        <v>15261.745387379917</v>
      </c>
      <c r="G24" s="142" t="s">
        <v>443</v>
      </c>
      <c r="H24" s="36">
        <v>3079.2119475830586</v>
      </c>
      <c r="I24" s="36">
        <f t="shared" si="2"/>
        <v>18340.957334962975</v>
      </c>
      <c r="J24" s="36">
        <v>1382.3969999999999</v>
      </c>
      <c r="K24" s="31">
        <v>25.83</v>
      </c>
    </row>
    <row r="25" spans="1:11">
      <c r="A25" s="10">
        <v>1998</v>
      </c>
      <c r="B25" s="36">
        <f t="shared" si="3"/>
        <v>1382.3969999999999</v>
      </c>
      <c r="C25" s="36">
        <v>18078.099999999999</v>
      </c>
      <c r="D25" s="36">
        <v>82.652998385160018</v>
      </c>
      <c r="E25" s="36">
        <f t="shared" si="0"/>
        <v>19543.149998385161</v>
      </c>
      <c r="F25" s="36">
        <f t="shared" si="1"/>
        <v>15651.95116538301</v>
      </c>
      <c r="G25" s="142" t="s">
        <v>443</v>
      </c>
      <c r="H25" s="36">
        <v>2371.6228330021499</v>
      </c>
      <c r="I25" s="36">
        <f t="shared" si="2"/>
        <v>18023.57399838516</v>
      </c>
      <c r="J25" s="36">
        <v>1519.576</v>
      </c>
      <c r="K25" s="31">
        <v>19.8</v>
      </c>
    </row>
    <row r="26" spans="1:11">
      <c r="A26" s="10">
        <v>1999</v>
      </c>
      <c r="B26" s="36">
        <f t="shared" si="3"/>
        <v>1519.576</v>
      </c>
      <c r="C26" s="36">
        <v>17824.746999999999</v>
      </c>
      <c r="D26" s="36">
        <v>82.808437463891991</v>
      </c>
      <c r="E26" s="36">
        <f t="shared" si="0"/>
        <v>19427.131437463893</v>
      </c>
      <c r="F26" s="36">
        <f t="shared" si="1"/>
        <v>16059.095925842572</v>
      </c>
      <c r="G26" s="142" t="s">
        <v>443</v>
      </c>
      <c r="H26" s="36">
        <v>1374.592511621322</v>
      </c>
      <c r="I26" s="36">
        <f t="shared" si="2"/>
        <v>17433.688437463894</v>
      </c>
      <c r="J26" s="36">
        <v>1993.443</v>
      </c>
      <c r="K26" s="31">
        <v>15.59</v>
      </c>
    </row>
    <row r="27" spans="1:11">
      <c r="A27" s="10">
        <v>2000</v>
      </c>
      <c r="B27" s="74">
        <f t="shared" ref="B27:B32" si="4">+J26</f>
        <v>1993.443</v>
      </c>
      <c r="C27" s="74">
        <v>18419.7</v>
      </c>
      <c r="D27" s="74">
        <v>72.998000000000005</v>
      </c>
      <c r="E27" s="36">
        <f t="shared" si="0"/>
        <v>20486.141</v>
      </c>
      <c r="F27" s="74">
        <f t="shared" si="1"/>
        <v>16318.219816251454</v>
      </c>
      <c r="G27" s="142" t="s">
        <v>443</v>
      </c>
      <c r="H27" s="74">
        <v>1401.0221837485442</v>
      </c>
      <c r="I27" s="74">
        <f t="shared" si="2"/>
        <v>17719.241999999998</v>
      </c>
      <c r="J27" s="74">
        <v>2766.8989999999999</v>
      </c>
      <c r="K27" s="31">
        <v>14.09</v>
      </c>
    </row>
    <row r="28" spans="1:11">
      <c r="A28" s="62">
        <v>2001</v>
      </c>
      <c r="B28" s="74">
        <f t="shared" si="4"/>
        <v>2766.8989999999999</v>
      </c>
      <c r="C28" s="74">
        <v>18898.235000000001</v>
      </c>
      <c r="D28" s="74">
        <v>45.957999999999998</v>
      </c>
      <c r="E28" s="36">
        <f t="shared" si="0"/>
        <v>21711.092000000001</v>
      </c>
      <c r="F28" s="74">
        <f t="shared" si="1"/>
        <v>16833.150143195951</v>
      </c>
      <c r="G28" s="142" t="s">
        <v>443</v>
      </c>
      <c r="H28" s="74">
        <v>2519.341856804052</v>
      </c>
      <c r="I28" s="74">
        <f t="shared" si="2"/>
        <v>19352.492000000002</v>
      </c>
      <c r="J28" s="74">
        <v>2358.6</v>
      </c>
      <c r="K28" s="31">
        <v>16.46</v>
      </c>
    </row>
    <row r="29" spans="1:11">
      <c r="A29" s="62">
        <v>2002</v>
      </c>
      <c r="B29" s="74">
        <f t="shared" si="4"/>
        <v>2358.6</v>
      </c>
      <c r="C29" s="74">
        <v>18430.248</v>
      </c>
      <c r="D29" s="74">
        <v>46.027000000000001</v>
      </c>
      <c r="E29" s="36">
        <f t="shared" si="0"/>
        <v>20834.874999999996</v>
      </c>
      <c r="F29" s="74">
        <f t="shared" ref="F29:F34" si="5">+I29-H29</f>
        <v>17080.895517263172</v>
      </c>
      <c r="G29" s="142" t="s">
        <v>443</v>
      </c>
      <c r="H29" s="74">
        <v>2263.3484827368238</v>
      </c>
      <c r="I29" s="74">
        <f t="shared" si="2"/>
        <v>19344.243999999995</v>
      </c>
      <c r="J29" s="74">
        <v>1490.6310000000001</v>
      </c>
      <c r="K29" s="31">
        <v>22.04</v>
      </c>
    </row>
    <row r="30" spans="1:11">
      <c r="A30" s="62">
        <v>2003</v>
      </c>
      <c r="B30" s="74">
        <f t="shared" si="4"/>
        <v>1490.6310000000001</v>
      </c>
      <c r="C30" s="74">
        <v>17080.411</v>
      </c>
      <c r="D30" s="74">
        <v>306.18687396691797</v>
      </c>
      <c r="E30" s="36">
        <f t="shared" si="0"/>
        <v>18877.22887396692</v>
      </c>
      <c r="F30" s="74">
        <f t="shared" si="5"/>
        <v>16865.617739980244</v>
      </c>
      <c r="G30" s="74">
        <v>137.4</v>
      </c>
      <c r="H30" s="74">
        <v>935.98013398667399</v>
      </c>
      <c r="I30" s="74">
        <f t="shared" si="2"/>
        <v>17801.597873966919</v>
      </c>
      <c r="J30" s="74">
        <v>1075.6310000000001</v>
      </c>
      <c r="K30" s="31">
        <v>29.97</v>
      </c>
    </row>
    <row r="31" spans="1:11">
      <c r="A31" s="62">
        <v>2004</v>
      </c>
      <c r="B31" s="74">
        <f t="shared" si="4"/>
        <v>1075.6310000000001</v>
      </c>
      <c r="C31" s="74">
        <v>19359.734</v>
      </c>
      <c r="D31" s="74">
        <v>26.268284978333998</v>
      </c>
      <c r="E31" s="36">
        <f t="shared" ref="E31:E36" si="6">+B31+C31+D31</f>
        <v>20461.633284978336</v>
      </c>
      <c r="F31" s="74">
        <f t="shared" si="5"/>
        <v>17438.951194781061</v>
      </c>
      <c r="G31" s="74">
        <v>445.23</v>
      </c>
      <c r="H31" s="74">
        <v>1323.6520901972758</v>
      </c>
      <c r="I31" s="74">
        <f t="shared" si="2"/>
        <v>18762.603284978337</v>
      </c>
      <c r="J31" s="74">
        <v>1699.03</v>
      </c>
      <c r="K31" s="31">
        <v>23.01</v>
      </c>
    </row>
    <row r="32" spans="1:11">
      <c r="A32" s="62">
        <v>2005</v>
      </c>
      <c r="B32" s="74">
        <f t="shared" si="4"/>
        <v>1699.03</v>
      </c>
      <c r="C32" s="74">
        <v>20387.420999999998</v>
      </c>
      <c r="D32" s="74">
        <v>35.337008598444001</v>
      </c>
      <c r="E32" s="36">
        <f t="shared" si="6"/>
        <v>22121.78800859844</v>
      </c>
      <c r="F32" s="74">
        <f t="shared" si="5"/>
        <v>17958.607551960602</v>
      </c>
      <c r="G32" s="74">
        <v>1555.0260000000001</v>
      </c>
      <c r="H32" s="74">
        <v>1153.354456637838</v>
      </c>
      <c r="I32" s="74">
        <f t="shared" si="2"/>
        <v>19111.962008598439</v>
      </c>
      <c r="J32" s="74">
        <v>3009.826</v>
      </c>
      <c r="K32" s="31">
        <v>23.41</v>
      </c>
    </row>
    <row r="33" spans="1:11">
      <c r="A33" s="62">
        <v>2006</v>
      </c>
      <c r="B33" s="74">
        <f t="shared" ref="B33:B38" si="7">+J32</f>
        <v>3009.826</v>
      </c>
      <c r="C33" s="74">
        <v>20488.99351</v>
      </c>
      <c r="D33" s="74">
        <v>37.473177085344005</v>
      </c>
      <c r="E33" s="36">
        <f t="shared" si="6"/>
        <v>23536.292687085344</v>
      </c>
      <c r="F33" s="74">
        <f t="shared" si="5"/>
        <v>18574.448188614173</v>
      </c>
      <c r="G33" s="74">
        <v>2761.4929999999999</v>
      </c>
      <c r="H33" s="74">
        <v>1876.6194984711722</v>
      </c>
      <c r="I33" s="74">
        <f t="shared" si="2"/>
        <v>20451.067687085346</v>
      </c>
      <c r="J33" s="74">
        <v>3085.2249999999999</v>
      </c>
      <c r="K33" s="31">
        <v>31.02</v>
      </c>
    </row>
    <row r="34" spans="1:11">
      <c r="A34" s="62">
        <v>2007</v>
      </c>
      <c r="B34" s="74">
        <f t="shared" si="7"/>
        <v>3085.2249999999999</v>
      </c>
      <c r="C34" s="74">
        <f>'tab8'!C20/1000</f>
        <v>20579.830779999997</v>
      </c>
      <c r="D34" s="74">
        <f>'tab8'!D20/1000</f>
        <v>65.355102067247998</v>
      </c>
      <c r="E34" s="36">
        <f t="shared" si="6"/>
        <v>23730.410882067245</v>
      </c>
      <c r="F34" s="74">
        <f t="shared" si="5"/>
        <v>18334.765425604342</v>
      </c>
      <c r="G34" s="74">
        <v>3245.2919999999999</v>
      </c>
      <c r="H34" s="74">
        <f>'tab8'!H20/1000</f>
        <v>2911.0484564629019</v>
      </c>
      <c r="I34" s="74">
        <f t="shared" si="2"/>
        <v>21245.813882067243</v>
      </c>
      <c r="J34" s="74">
        <f>'tab8'!J19/1000</f>
        <v>2484.5970000000002</v>
      </c>
      <c r="K34" s="31">
        <v>52.03</v>
      </c>
    </row>
    <row r="35" spans="1:11">
      <c r="A35" s="62">
        <v>2008</v>
      </c>
      <c r="B35" s="74">
        <f t="shared" si="7"/>
        <v>2484.5970000000002</v>
      </c>
      <c r="C35" s="74">
        <f>'tab8'!C34/1000</f>
        <v>18744.967840000001</v>
      </c>
      <c r="D35" s="74">
        <f>'tab8'!D34/1000</f>
        <v>89.577464760251985</v>
      </c>
      <c r="E35" s="36">
        <f t="shared" si="6"/>
        <v>21319.142304760255</v>
      </c>
      <c r="F35" s="74">
        <f t="shared" ref="F35:F40" si="8">+I35-H35</f>
        <v>16265.203884786391</v>
      </c>
      <c r="G35" s="74">
        <v>2068.752</v>
      </c>
      <c r="H35" s="74">
        <f>'tab8'!H34/1000</f>
        <v>2193.4384199738643</v>
      </c>
      <c r="I35" s="74">
        <f t="shared" si="2"/>
        <v>18458.642304760255</v>
      </c>
      <c r="J35" s="74">
        <f>'tab8'!J33/1000</f>
        <v>2860.5</v>
      </c>
      <c r="K35" s="31">
        <v>32.159999999999997</v>
      </c>
    </row>
    <row r="36" spans="1:11">
      <c r="A36" s="62">
        <v>2009</v>
      </c>
      <c r="B36" s="74">
        <f t="shared" si="7"/>
        <v>2860.5</v>
      </c>
      <c r="C36" s="74">
        <f>'tab8'!C48/1000</f>
        <v>19615.31352</v>
      </c>
      <c r="D36" s="74">
        <f>'tab8'!D48/1000</f>
        <v>102.57960440485799</v>
      </c>
      <c r="E36" s="36">
        <f t="shared" si="6"/>
        <v>22578.393124404858</v>
      </c>
      <c r="F36" s="74">
        <f t="shared" si="8"/>
        <v>15813.946153701158</v>
      </c>
      <c r="G36" s="74">
        <v>1680.3030000000001</v>
      </c>
      <c r="H36" s="74">
        <f>'tab8'!H48/1000</f>
        <v>3358.6669707037017</v>
      </c>
      <c r="I36" s="74">
        <f t="shared" si="2"/>
        <v>19172.613124404859</v>
      </c>
      <c r="J36" s="74">
        <f>'tab8'!J47/1000</f>
        <v>3405.78</v>
      </c>
      <c r="K36" s="31">
        <v>35.950000000000003</v>
      </c>
    </row>
    <row r="37" spans="1:11">
      <c r="A37" s="62">
        <v>2010</v>
      </c>
      <c r="B37" s="74">
        <f t="shared" si="7"/>
        <v>3405.78</v>
      </c>
      <c r="C37" s="74">
        <f>'tab8'!C62/1000</f>
        <v>18887.582520000004</v>
      </c>
      <c r="D37" s="74">
        <f>'tab8'!D62/1000</f>
        <v>159.001291527246</v>
      </c>
      <c r="E37" s="36">
        <f t="shared" ref="E37:E42" si="9">+B37+C37+D37</f>
        <v>22452.363811527248</v>
      </c>
      <c r="F37" s="74">
        <f t="shared" si="8"/>
        <v>16544.42941413249</v>
      </c>
      <c r="G37" s="74">
        <v>2737</v>
      </c>
      <c r="H37" s="74">
        <f>'tab8'!H62/1000</f>
        <v>3232.934397394758</v>
      </c>
      <c r="I37" s="74">
        <f t="shared" si="2"/>
        <v>19777.363811527248</v>
      </c>
      <c r="J37" s="74">
        <v>2675</v>
      </c>
      <c r="K37" s="31">
        <v>53.2</v>
      </c>
    </row>
    <row r="38" spans="1:11">
      <c r="A38" s="62">
        <v>2011</v>
      </c>
      <c r="B38" s="74">
        <f t="shared" si="7"/>
        <v>2675</v>
      </c>
      <c r="C38" s="74">
        <v>19740</v>
      </c>
      <c r="D38" s="74">
        <v>149.136403945788</v>
      </c>
      <c r="E38" s="36">
        <f t="shared" si="9"/>
        <v>22564.136403945788</v>
      </c>
      <c r="F38" s="74">
        <f t="shared" si="8"/>
        <v>18510.023666165198</v>
      </c>
      <c r="G38" s="74">
        <v>4874</v>
      </c>
      <c r="H38" s="74">
        <v>1464.1127377805883</v>
      </c>
      <c r="I38" s="74">
        <f t="shared" si="2"/>
        <v>19974.136403945788</v>
      </c>
      <c r="J38" s="200">
        <v>2590</v>
      </c>
      <c r="K38" s="31">
        <v>51.9</v>
      </c>
    </row>
    <row r="39" spans="1:11">
      <c r="A39" s="62">
        <v>2012</v>
      </c>
      <c r="B39" s="74">
        <f t="shared" ref="B39:B45" si="10">+J38</f>
        <v>2590</v>
      </c>
      <c r="C39" s="74">
        <v>19820</v>
      </c>
      <c r="D39" s="74">
        <v>195.5896232903676</v>
      </c>
      <c r="E39" s="36">
        <f t="shared" si="9"/>
        <v>22605.589623290369</v>
      </c>
      <c r="F39" s="74">
        <f t="shared" si="8"/>
        <v>18787.095713116814</v>
      </c>
      <c r="G39" s="74">
        <v>4689</v>
      </c>
      <c r="H39" s="74">
        <v>2163.493910173554</v>
      </c>
      <c r="I39" s="74">
        <f t="shared" si="2"/>
        <v>20950.589623290369</v>
      </c>
      <c r="J39" s="200">
        <v>1655</v>
      </c>
      <c r="K39" s="31">
        <v>47.13</v>
      </c>
    </row>
    <row r="40" spans="1:11">
      <c r="A40" s="62">
        <v>2013</v>
      </c>
      <c r="B40" s="74">
        <f t="shared" si="10"/>
        <v>1655</v>
      </c>
      <c r="C40" s="74">
        <v>20130</v>
      </c>
      <c r="D40" s="74">
        <v>165.03584988615484</v>
      </c>
      <c r="E40" s="36">
        <f t="shared" si="9"/>
        <v>21950.035849886153</v>
      </c>
      <c r="F40" s="74">
        <f t="shared" si="8"/>
        <v>18907.953572597096</v>
      </c>
      <c r="G40" s="74">
        <v>5010.29</v>
      </c>
      <c r="H40" s="74">
        <v>1877.0822772890576</v>
      </c>
      <c r="I40" s="74">
        <f t="shared" si="2"/>
        <v>20785.035849886153</v>
      </c>
      <c r="J40" s="200">
        <v>1165</v>
      </c>
      <c r="K40" s="31">
        <v>38.229999999999997</v>
      </c>
    </row>
    <row r="41" spans="1:11">
      <c r="A41" s="62">
        <v>2014</v>
      </c>
      <c r="B41" s="74">
        <f t="shared" si="10"/>
        <v>1165</v>
      </c>
      <c r="C41" s="200">
        <v>21399</v>
      </c>
      <c r="D41" s="200">
        <v>264.33291896083801</v>
      </c>
      <c r="E41" s="36">
        <f t="shared" si="9"/>
        <v>22828.332918960838</v>
      </c>
      <c r="F41" s="74">
        <f>+I41-H41</f>
        <v>18959.434800477735</v>
      </c>
      <c r="G41" s="200">
        <v>5038.59</v>
      </c>
      <c r="H41" s="200">
        <v>2014.0801184831043</v>
      </c>
      <c r="I41" s="74">
        <f t="shared" si="2"/>
        <v>20973.514918960838</v>
      </c>
      <c r="J41" s="200">
        <v>1854.818</v>
      </c>
      <c r="K41" s="206">
        <v>31.6</v>
      </c>
    </row>
    <row r="42" spans="1:11">
      <c r="A42" s="62">
        <v>2015</v>
      </c>
      <c r="B42" s="74">
        <f t="shared" si="10"/>
        <v>1854.818</v>
      </c>
      <c r="C42" s="200">
        <f>'tab8'!C76/1000</f>
        <v>21950.231</v>
      </c>
      <c r="D42" s="200">
        <f>'tab8'!D76/1000</f>
        <v>286.55315418454205</v>
      </c>
      <c r="E42" s="36">
        <f t="shared" si="9"/>
        <v>24091.60215418454</v>
      </c>
      <c r="F42" s="74">
        <f>+I42-H42</f>
        <v>20162.2479225438</v>
      </c>
      <c r="G42" s="200">
        <f>'tab8'!G76/1000</f>
        <v>5670.21</v>
      </c>
      <c r="H42" s="200">
        <f>'tab8'!H76/1000</f>
        <v>2242.5412316407378</v>
      </c>
      <c r="I42" s="74">
        <f t="shared" si="2"/>
        <v>22404.789154184538</v>
      </c>
      <c r="J42" s="200">
        <f>'tab8'!J75/1000</f>
        <v>1686.8130000000001</v>
      </c>
      <c r="K42" s="206">
        <v>29.86</v>
      </c>
    </row>
    <row r="43" spans="1:11">
      <c r="A43" s="62">
        <v>2016</v>
      </c>
      <c r="B43" s="74">
        <f t="shared" si="10"/>
        <v>1686.8130000000001</v>
      </c>
      <c r="C43" s="200">
        <f>'tab8'!C90/1000</f>
        <v>22123.409</v>
      </c>
      <c r="D43" s="200">
        <f>'tab8'!D90/1000</f>
        <v>318.70876757353204</v>
      </c>
      <c r="E43" s="36">
        <f>+B43+C43+D43</f>
        <v>24128.930767573533</v>
      </c>
      <c r="F43" s="74">
        <f>+I43-H43</f>
        <v>19862.314534937177</v>
      </c>
      <c r="G43" s="200">
        <f>'tab8'!G90/1000</f>
        <v>6200.3</v>
      </c>
      <c r="H43" s="200">
        <f>'tab8'!H90/1000</f>
        <v>2555.6622326363522</v>
      </c>
      <c r="I43" s="74">
        <f t="shared" si="2"/>
        <v>22417.976767573531</v>
      </c>
      <c r="J43" s="200">
        <f>'tab8'!J89/1000</f>
        <v>1710.954</v>
      </c>
      <c r="K43" s="206">
        <v>32.549999999999997</v>
      </c>
    </row>
    <row r="44" spans="1:11">
      <c r="A44" s="115" t="s">
        <v>572</v>
      </c>
      <c r="B44" s="74">
        <f t="shared" si="10"/>
        <v>1710.954</v>
      </c>
      <c r="C44" s="200">
        <v>23772.428</v>
      </c>
      <c r="D44" s="200">
        <v>335</v>
      </c>
      <c r="E44" s="74">
        <f>+B44+C44+D44</f>
        <v>25818.382000000001</v>
      </c>
      <c r="F44" s="74">
        <f>+I44-H44</f>
        <v>21376</v>
      </c>
      <c r="G44" s="200">
        <f>'tab8'!G104/1000</f>
        <v>7133.69</v>
      </c>
      <c r="H44" s="200">
        <v>2447</v>
      </c>
      <c r="I44" s="74">
        <v>23823</v>
      </c>
      <c r="J44" s="200">
        <v>1995</v>
      </c>
      <c r="K44" s="206">
        <v>30.04</v>
      </c>
    </row>
    <row r="45" spans="1:11">
      <c r="A45" s="118" t="s">
        <v>626</v>
      </c>
      <c r="B45" s="37">
        <f t="shared" si="10"/>
        <v>1995</v>
      </c>
      <c r="C45" s="199">
        <v>24570</v>
      </c>
      <c r="D45" s="199">
        <v>300</v>
      </c>
      <c r="E45" s="37">
        <f>+B45+C45+D45</f>
        <v>26865</v>
      </c>
      <c r="F45" s="37">
        <f>+I45-H45</f>
        <v>22605</v>
      </c>
      <c r="G45" s="199">
        <v>8200</v>
      </c>
      <c r="H45" s="199">
        <v>2250</v>
      </c>
      <c r="I45" s="37">
        <v>24855</v>
      </c>
      <c r="J45" s="199">
        <v>2010</v>
      </c>
      <c r="K45" s="343" t="s">
        <v>659</v>
      </c>
    </row>
    <row r="46" spans="1:11" ht="13.2" customHeight="1">
      <c r="A46" s="107" t="s">
        <v>172</v>
      </c>
    </row>
    <row r="47" spans="1:11" ht="13.2" customHeight="1">
      <c r="A47" s="107" t="s">
        <v>518</v>
      </c>
    </row>
    <row r="48" spans="1:11" ht="13.2" customHeight="1">
      <c r="A48" s="144" t="s">
        <v>519</v>
      </c>
    </row>
    <row r="49" spans="1:11">
      <c r="A49" t="s">
        <v>517</v>
      </c>
      <c r="K49" s="270" t="s">
        <v>679</v>
      </c>
    </row>
  </sheetData>
  <mergeCells count="1">
    <mergeCell ref="B2:E2"/>
  </mergeCells>
  <phoneticPr fontId="0" type="noConversion"/>
  <pageMargins left="0.7" right="0.7" top="0.75" bottom="0.75" header="0.3" footer="0.3"/>
  <pageSetup scale="81" firstPageNumber="32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59"/>
  <sheetViews>
    <sheetView zoomScale="110" zoomScaleNormal="110" zoomScaleSheetLayoutView="75" workbookViewId="0">
      <selection activeCell="A105" sqref="A105"/>
    </sheetView>
  </sheetViews>
  <sheetFormatPr defaultRowHeight="10.199999999999999"/>
  <cols>
    <col min="1" max="1" width="12.28515625" customWidth="1"/>
    <col min="2" max="3" width="16.85546875" customWidth="1"/>
    <col min="4" max="4" width="15.7109375" customWidth="1"/>
    <col min="5" max="5" width="16.85546875" customWidth="1"/>
    <col min="6" max="8" width="15.7109375" customWidth="1"/>
    <col min="9" max="10" width="16.85546875" customWidth="1"/>
  </cols>
  <sheetData>
    <row r="1" spans="1:10">
      <c r="A1" s="136" t="s">
        <v>613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>
      <c r="B2" s="403" t="s">
        <v>119</v>
      </c>
      <c r="C2" s="404"/>
      <c r="D2" s="404"/>
      <c r="E2" s="404"/>
      <c r="F2" s="403" t="s">
        <v>117</v>
      </c>
      <c r="G2" s="404"/>
      <c r="H2" s="404"/>
      <c r="I2" s="405"/>
    </row>
    <row r="3" spans="1:10">
      <c r="A3" t="s">
        <v>147</v>
      </c>
      <c r="B3" s="376" t="s">
        <v>141</v>
      </c>
      <c r="C3" s="7"/>
      <c r="D3" s="7"/>
      <c r="E3" s="375"/>
      <c r="F3" s="7"/>
      <c r="G3" s="7"/>
      <c r="H3" s="7"/>
      <c r="I3" s="375"/>
      <c r="J3" s="173" t="s">
        <v>143</v>
      </c>
    </row>
    <row r="4" spans="1:10">
      <c r="A4" t="s">
        <v>100</v>
      </c>
      <c r="B4" s="377" t="s">
        <v>110</v>
      </c>
      <c r="C4" s="10" t="s">
        <v>66</v>
      </c>
      <c r="D4" s="7" t="s">
        <v>88</v>
      </c>
      <c r="E4" s="372" t="s">
        <v>283</v>
      </c>
      <c r="F4" s="174" t="s">
        <v>111</v>
      </c>
      <c r="G4" s="173" t="s">
        <v>90</v>
      </c>
      <c r="H4" s="172" t="s">
        <v>439</v>
      </c>
      <c r="I4" s="372" t="s">
        <v>283</v>
      </c>
      <c r="J4" s="173" t="s">
        <v>110</v>
      </c>
    </row>
    <row r="5" spans="1:10">
      <c r="A5" s="1" t="s">
        <v>185</v>
      </c>
      <c r="B5" s="365"/>
      <c r="C5" s="1"/>
      <c r="D5" s="1"/>
      <c r="E5" s="368"/>
      <c r="F5" s="1"/>
      <c r="G5" s="1"/>
      <c r="H5" s="175" t="s">
        <v>440</v>
      </c>
      <c r="I5" s="368"/>
      <c r="J5" s="1"/>
    </row>
    <row r="6" spans="1:10">
      <c r="C6" s="35"/>
      <c r="D6" s="35"/>
      <c r="E6" s="35"/>
      <c r="F6" s="35" t="s">
        <v>4</v>
      </c>
      <c r="G6" s="35"/>
      <c r="H6" s="35"/>
      <c r="I6" s="35"/>
      <c r="J6" s="35"/>
    </row>
    <row r="7" spans="1:10">
      <c r="A7" t="s">
        <v>333</v>
      </c>
      <c r="B7" s="71"/>
      <c r="C7" s="71"/>
      <c r="D7" s="71"/>
      <c r="E7" s="71"/>
      <c r="F7" s="71"/>
      <c r="G7" s="71"/>
      <c r="H7" s="71"/>
      <c r="I7" s="71"/>
      <c r="J7" s="71"/>
    </row>
    <row r="8" spans="1:10">
      <c r="A8" t="s">
        <v>447</v>
      </c>
      <c r="B8" s="71">
        <v>290162</v>
      </c>
      <c r="C8" s="71">
        <v>2757810</v>
      </c>
      <c r="D8" s="71">
        <v>901.03367784990019</v>
      </c>
      <c r="E8" s="71">
        <f>SUM(B8:D8)</f>
        <v>3048873.0336778499</v>
      </c>
      <c r="F8" s="71">
        <v>421136.66666666669</v>
      </c>
      <c r="G8" s="71">
        <v>315767.60487929999</v>
      </c>
      <c r="H8" s="71">
        <f>I8-F8-G8</f>
        <v>71977.762131883239</v>
      </c>
      <c r="I8" s="71">
        <f>E8-J8</f>
        <v>808882.03367784992</v>
      </c>
      <c r="J8" s="71">
        <f>'tab01'!D10</f>
        <v>2239991</v>
      </c>
    </row>
    <row r="9" spans="1:10">
      <c r="A9" t="s">
        <v>446</v>
      </c>
      <c r="B9" s="71">
        <f>J8</f>
        <v>2239991</v>
      </c>
      <c r="C9" s="142" t="s">
        <v>443</v>
      </c>
      <c r="D9" s="71">
        <v>800.01951453269999</v>
      </c>
      <c r="E9" s="71">
        <f>SUM(B9:D9)</f>
        <v>2240791.0195145328</v>
      </c>
      <c r="F9" s="71">
        <v>417936.66666666663</v>
      </c>
      <c r="G9" s="71">
        <v>336291.09246390004</v>
      </c>
      <c r="H9" s="71">
        <f>I9-F9-G9</f>
        <v>82655.260383966088</v>
      </c>
      <c r="I9" s="71">
        <f>E9-J9</f>
        <v>836883.01951453276</v>
      </c>
      <c r="J9" s="71">
        <f>'tab01'!D11</f>
        <v>1403908</v>
      </c>
    </row>
    <row r="10" spans="1:10">
      <c r="A10" t="s">
        <v>444</v>
      </c>
      <c r="B10" s="71">
        <f>J9</f>
        <v>1403908</v>
      </c>
      <c r="C10" s="142" t="s">
        <v>443</v>
      </c>
      <c r="D10" s="71">
        <v>813.36670030139999</v>
      </c>
      <c r="E10" s="71">
        <f>SUM(B10:D10)</f>
        <v>1404721.3667003014</v>
      </c>
      <c r="F10" s="71">
        <v>405486.66666666669</v>
      </c>
      <c r="G10" s="71">
        <v>227730.25083480001</v>
      </c>
      <c r="H10" s="71">
        <f>I10-F10-G10</f>
        <v>63324.449198834714</v>
      </c>
      <c r="I10" s="71">
        <f>E10-J10</f>
        <v>696541.36670030141</v>
      </c>
      <c r="J10" s="71">
        <f>'tab01'!D12</f>
        <v>708180</v>
      </c>
    </row>
    <row r="11" spans="1:10">
      <c r="A11" t="s">
        <v>445</v>
      </c>
      <c r="B11" s="71">
        <f>J10</f>
        <v>708180</v>
      </c>
      <c r="C11" s="142" t="s">
        <v>443</v>
      </c>
      <c r="D11" s="71">
        <v>1053.4054292496</v>
      </c>
      <c r="E11" s="71">
        <f>SUM(B11:D11)</f>
        <v>709233.40542924963</v>
      </c>
      <c r="F11" s="71">
        <v>395110</v>
      </c>
      <c r="G11" s="71">
        <v>116082.24027540002</v>
      </c>
      <c r="H11" s="71">
        <f>I11-F11-G11</f>
        <v>-49705.834846150392</v>
      </c>
      <c r="I11" s="71">
        <f>E11-J11</f>
        <v>461486.40542924963</v>
      </c>
      <c r="J11" s="71">
        <f>'tab01'!D13</f>
        <v>247747</v>
      </c>
    </row>
    <row r="12" spans="1:10">
      <c r="A12" t="s">
        <v>382</v>
      </c>
      <c r="B12" s="71"/>
      <c r="C12" s="71">
        <f>SUM(C8:C11)</f>
        <v>2757810</v>
      </c>
      <c r="D12" s="71">
        <f>SUM(D8:D11)</f>
        <v>3567.8253219336002</v>
      </c>
      <c r="E12" s="71">
        <f>B8+D12+C12</f>
        <v>3051539.8253219337</v>
      </c>
      <c r="F12" s="71">
        <f>SUM(F8:F11)</f>
        <v>1639670</v>
      </c>
      <c r="G12" s="71">
        <f>SUM(G8:G11)</f>
        <v>995871.18845340004</v>
      </c>
      <c r="H12" s="71">
        <f>SUM(H8:H11)</f>
        <v>168251.63686853365</v>
      </c>
      <c r="I12" s="71">
        <f>SUM(I8:I11)</f>
        <v>2803792.8253219337</v>
      </c>
      <c r="J12" s="71"/>
    </row>
    <row r="13" spans="1:10">
      <c r="B13" s="71"/>
      <c r="C13" s="71"/>
      <c r="D13" s="71"/>
      <c r="E13" s="71"/>
      <c r="F13" s="71"/>
      <c r="G13" s="71"/>
      <c r="H13" s="71"/>
      <c r="I13" s="71"/>
      <c r="J13" s="71"/>
    </row>
    <row r="14" spans="1:10">
      <c r="A14" t="s">
        <v>341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>
      <c r="A15" t="s">
        <v>441</v>
      </c>
      <c r="B15" s="71">
        <f>J11</f>
        <v>247747</v>
      </c>
      <c r="C15" s="71">
        <v>2890682</v>
      </c>
      <c r="D15" s="71">
        <v>845.7440361992999</v>
      </c>
      <c r="E15" s="71">
        <f>SUM(B15:D15)</f>
        <v>3139274.7440361995</v>
      </c>
      <c r="F15" s="71">
        <v>427540</v>
      </c>
      <c r="G15" s="71">
        <v>348619.37543160003</v>
      </c>
      <c r="H15" s="71">
        <f>I15-F15-G15</f>
        <v>87497.368604599498</v>
      </c>
      <c r="I15" s="71">
        <f>E15-J15</f>
        <v>863656.74403619952</v>
      </c>
      <c r="J15" s="71">
        <f>'tab01'!D15</f>
        <v>2275618</v>
      </c>
    </row>
    <row r="16" spans="1:10">
      <c r="A16" t="s">
        <v>442</v>
      </c>
      <c r="B16" s="71">
        <f>J15</f>
        <v>2275618</v>
      </c>
      <c r="C16" s="142" t="s">
        <v>443</v>
      </c>
      <c r="D16" s="71">
        <v>637.56363838650009</v>
      </c>
      <c r="E16" s="71">
        <f>SUM(B16:D16)</f>
        <v>2276255.5636383863</v>
      </c>
      <c r="F16" s="71">
        <v>447596.73333333328</v>
      </c>
      <c r="G16" s="71">
        <v>422449.30020299996</v>
      </c>
      <c r="H16" s="71">
        <f>I16-F16-G16</f>
        <v>70222.530102053075</v>
      </c>
      <c r="I16" s="71">
        <f>E16-J16</f>
        <v>940268.56363838632</v>
      </c>
      <c r="J16" s="71">
        <f>'tab01'!D16</f>
        <v>1335987</v>
      </c>
    </row>
    <row r="17" spans="1:10">
      <c r="A17" t="s">
        <v>444</v>
      </c>
      <c r="B17" s="71">
        <f>J16</f>
        <v>1335987</v>
      </c>
      <c r="C17" s="142" t="s">
        <v>443</v>
      </c>
      <c r="D17" s="71">
        <v>461.73753817170001</v>
      </c>
      <c r="E17" s="71">
        <f>SUM(B17:D17)</f>
        <v>1336448.7375381717</v>
      </c>
      <c r="F17" s="71">
        <v>429615.9</v>
      </c>
      <c r="G17" s="71">
        <v>155298.12989879999</v>
      </c>
      <c r="H17" s="71">
        <f>I17-F17-G17</f>
        <v>66613.707639371685</v>
      </c>
      <c r="I17" s="71">
        <f>E17-J17</f>
        <v>651527.7375381717</v>
      </c>
      <c r="J17" s="71">
        <f>'tab01'!D17</f>
        <v>684921</v>
      </c>
    </row>
    <row r="18" spans="1:10">
      <c r="A18" t="s">
        <v>445</v>
      </c>
      <c r="B18" s="71">
        <f>J17</f>
        <v>684921</v>
      </c>
      <c r="C18" s="142" t="s">
        <v>443</v>
      </c>
      <c r="D18" s="71">
        <v>374.72915470199996</v>
      </c>
      <c r="E18" s="71">
        <f>SUM(B18:D18)</f>
        <v>685295.72915470204</v>
      </c>
      <c r="F18" s="71">
        <v>394988.16666666669</v>
      </c>
      <c r="G18" s="71">
        <v>137284.64120490002</v>
      </c>
      <c r="H18" s="71">
        <f>I18-F18-G18</f>
        <v>-55038.078716864664</v>
      </c>
      <c r="I18" s="71">
        <f>E18-J18</f>
        <v>477234.72915470204</v>
      </c>
      <c r="J18" s="71">
        <f>'tab01'!D18</f>
        <v>208061</v>
      </c>
    </row>
    <row r="19" spans="1:10">
      <c r="A19" t="s">
        <v>382</v>
      </c>
      <c r="B19" s="71"/>
      <c r="C19" s="71">
        <f>SUM(C15:C18)</f>
        <v>2890682</v>
      </c>
      <c r="D19" s="71">
        <f>SUM(D15:D18)</f>
        <v>2319.7743674594999</v>
      </c>
      <c r="E19" s="71">
        <f>B15+D19+C19</f>
        <v>3140748.7743674596</v>
      </c>
      <c r="F19" s="71">
        <f>SUM(F15:F18)</f>
        <v>1699740.8</v>
      </c>
      <c r="G19" s="71">
        <f>SUM(G15:G18)</f>
        <v>1063651.4467383001</v>
      </c>
      <c r="H19" s="71">
        <f>SUM(H15:H18)</f>
        <v>169295.52762915959</v>
      </c>
      <c r="I19" s="71">
        <f>SUM(I15:I18)</f>
        <v>2932687.77436746</v>
      </c>
      <c r="J19" s="71"/>
    </row>
    <row r="20" spans="1:10">
      <c r="B20" s="71"/>
      <c r="C20" s="71"/>
      <c r="D20" s="71"/>
      <c r="E20" s="71"/>
      <c r="F20" s="71"/>
      <c r="G20" s="71"/>
      <c r="H20" s="71"/>
      <c r="I20" s="71"/>
      <c r="J20" s="71"/>
    </row>
    <row r="21" spans="1:10">
      <c r="A21" t="s">
        <v>353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10">
      <c r="A22" t="s">
        <v>441</v>
      </c>
      <c r="B22" s="71">
        <f>J18</f>
        <v>208061</v>
      </c>
      <c r="C22" s="71">
        <v>2756147</v>
      </c>
      <c r="D22" s="71">
        <v>1412.6551980156</v>
      </c>
      <c r="E22" s="71">
        <f>SUM(B22:D22)</f>
        <v>2965620.6551980157</v>
      </c>
      <c r="F22" s="71">
        <v>417505.5</v>
      </c>
      <c r="G22" s="71">
        <v>320403.85145790002</v>
      </c>
      <c r="H22" s="71">
        <f>I22-F22-G22</f>
        <v>112338.30374011572</v>
      </c>
      <c r="I22" s="71">
        <f>E22-J22</f>
        <v>850247.65519801574</v>
      </c>
      <c r="J22" s="71">
        <f>'tab01'!D20</f>
        <v>2115373</v>
      </c>
    </row>
    <row r="23" spans="1:10">
      <c r="A23" t="s">
        <v>442</v>
      </c>
      <c r="B23" s="71">
        <f>J22</f>
        <v>2115373</v>
      </c>
      <c r="C23" s="142" t="s">
        <v>443</v>
      </c>
      <c r="D23" s="71">
        <v>1094.9477462385</v>
      </c>
      <c r="E23" s="71">
        <f>SUM(B23:D23)</f>
        <v>2116467.9477462387</v>
      </c>
      <c r="F23" s="71">
        <v>422028.2</v>
      </c>
      <c r="G23" s="71">
        <v>425471.32255320007</v>
      </c>
      <c r="H23" s="71">
        <f>I23-F23-G23</f>
        <v>66940.425193038594</v>
      </c>
      <c r="I23" s="71">
        <f>E23-J23</f>
        <v>914439.94774623867</v>
      </c>
      <c r="J23" s="71">
        <f>'tab01'!D21</f>
        <v>1202028</v>
      </c>
    </row>
    <row r="24" spans="1:10">
      <c r="A24" t="s">
        <v>444</v>
      </c>
      <c r="B24" s="71">
        <f>J23</f>
        <v>1202028</v>
      </c>
      <c r="C24" s="142" t="s">
        <v>443</v>
      </c>
      <c r="D24" s="71">
        <v>1242.2369620794</v>
      </c>
      <c r="E24" s="71">
        <f>SUM(B24:D24)</f>
        <v>1203270.2369620793</v>
      </c>
      <c r="F24" s="71">
        <v>399520</v>
      </c>
      <c r="G24" s="71">
        <v>194410.18182599999</v>
      </c>
      <c r="H24" s="71">
        <f>I24-F24-G24</f>
        <v>6978.0551360793179</v>
      </c>
      <c r="I24" s="71">
        <f>E24-J24</f>
        <v>600908.2369620793</v>
      </c>
      <c r="J24" s="71">
        <f>'tab01'!D22</f>
        <v>602362</v>
      </c>
    </row>
    <row r="25" spans="1:10">
      <c r="A25" t="s">
        <v>445</v>
      </c>
      <c r="B25" s="71">
        <f>J24</f>
        <v>602362</v>
      </c>
      <c r="C25" s="142" t="s">
        <v>443</v>
      </c>
      <c r="D25" s="71">
        <v>911.13834232470003</v>
      </c>
      <c r="E25" s="71">
        <f>SUM(B25:D25)</f>
        <v>603273.13834232464</v>
      </c>
      <c r="F25" s="71">
        <v>375733.73333333334</v>
      </c>
      <c r="G25" s="71">
        <v>104086.74499860001</v>
      </c>
      <c r="H25" s="71">
        <f>I25-F25-G25</f>
        <v>-54876.339989608707</v>
      </c>
      <c r="I25" s="71">
        <f>E25-J25</f>
        <v>424944.13834232464</v>
      </c>
      <c r="J25" s="71">
        <f>'tab01'!D23</f>
        <v>178329</v>
      </c>
    </row>
    <row r="26" spans="1:10">
      <c r="A26" t="s">
        <v>448</v>
      </c>
      <c r="B26" s="71"/>
      <c r="C26" s="71">
        <f>SUM(C22:C25)</f>
        <v>2756147</v>
      </c>
      <c r="D26" s="71">
        <f>SUM(D22:D25)</f>
        <v>4660.9782486581998</v>
      </c>
      <c r="E26" s="71">
        <f>B22+D26+C26</f>
        <v>2968868.9782486581</v>
      </c>
      <c r="F26" s="71">
        <f>SUM(F22:F25)</f>
        <v>1614787.4333333333</v>
      </c>
      <c r="G26" s="71">
        <f>SUM(G22:G25)</f>
        <v>1044372.1008357001</v>
      </c>
      <c r="H26" s="71">
        <f>SUM(H22:H25)</f>
        <v>131380.44407962493</v>
      </c>
      <c r="I26" s="71">
        <f>SUM(I22:I25)</f>
        <v>2790539.9782486586</v>
      </c>
      <c r="J26" s="71"/>
    </row>
    <row r="27" spans="1:10">
      <c r="B27" s="71"/>
      <c r="C27" s="71"/>
      <c r="D27" s="71"/>
      <c r="E27" s="71"/>
      <c r="F27" s="71"/>
      <c r="G27" s="71"/>
      <c r="H27" s="71"/>
      <c r="I27" s="71"/>
      <c r="J27" s="71"/>
    </row>
    <row r="28" spans="1:10">
      <c r="A28" t="s">
        <v>363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>
      <c r="A29" t="s">
        <v>441</v>
      </c>
      <c r="B29" s="71">
        <f>J25</f>
        <v>178329</v>
      </c>
      <c r="C29" s="71">
        <v>2453845</v>
      </c>
      <c r="D29" s="71">
        <v>2246.2969250022002</v>
      </c>
      <c r="E29" s="71">
        <f>SUM(B29:D29)</f>
        <v>2634420.2969250022</v>
      </c>
      <c r="F29" s="71">
        <v>419401.43333333335</v>
      </c>
      <c r="G29" s="71">
        <v>383501.30889630003</v>
      </c>
      <c r="H29" s="71">
        <f>I29-F29-G29</f>
        <v>142864.55469536886</v>
      </c>
      <c r="I29" s="71">
        <f>E29-J29</f>
        <v>945767.29692500224</v>
      </c>
      <c r="J29" s="71">
        <f>'tab01'!D25</f>
        <v>1688653</v>
      </c>
    </row>
    <row r="30" spans="1:10">
      <c r="A30" t="s">
        <v>442</v>
      </c>
      <c r="B30" s="71">
        <f>J29</f>
        <v>1688653</v>
      </c>
      <c r="C30" s="142" t="s">
        <v>443</v>
      </c>
      <c r="D30" s="71">
        <v>1383.1406372720999</v>
      </c>
      <c r="E30" s="71">
        <f>SUM(B30:D30)</f>
        <v>1690036.140637272</v>
      </c>
      <c r="F30" s="71">
        <v>423116.96666666667</v>
      </c>
      <c r="G30" s="71">
        <v>333885.59265600005</v>
      </c>
      <c r="H30" s="71">
        <f>I30-F30-G30</f>
        <v>27186.581314605311</v>
      </c>
      <c r="I30" s="71">
        <f>E30-J30</f>
        <v>784189.14063727204</v>
      </c>
      <c r="J30" s="71">
        <f>'tab01'!D26</f>
        <v>905847</v>
      </c>
    </row>
    <row r="31" spans="1:10">
      <c r="A31" t="s">
        <v>444</v>
      </c>
      <c r="B31" s="71">
        <f>J30</f>
        <v>905847</v>
      </c>
      <c r="C31" s="142" t="s">
        <v>443</v>
      </c>
      <c r="D31" s="71">
        <v>994.09903980240006</v>
      </c>
      <c r="E31" s="71">
        <f>SUM(B31:D31)</f>
        <v>906841.09903980244</v>
      </c>
      <c r="F31" s="71">
        <v>359570.86666666664</v>
      </c>
      <c r="G31" s="71">
        <v>123367.22995590001</v>
      </c>
      <c r="H31" s="71">
        <f>I31-F31-G31</f>
        <v>13299.002417235795</v>
      </c>
      <c r="I31" s="71">
        <f>E31-J31</f>
        <v>496237.09903980244</v>
      </c>
      <c r="J31" s="71">
        <f>'tab01'!D27</f>
        <v>410604</v>
      </c>
    </row>
    <row r="32" spans="1:10">
      <c r="A32" t="s">
        <v>445</v>
      </c>
      <c r="B32" s="71">
        <f>J31</f>
        <v>410604</v>
      </c>
      <c r="C32" s="142" t="s">
        <v>443</v>
      </c>
      <c r="D32" s="71">
        <v>938.01691003020005</v>
      </c>
      <c r="E32" s="71">
        <f>SUM(B32:D32)</f>
        <v>411542.01691003022</v>
      </c>
      <c r="F32" s="71">
        <v>327609.46666666667</v>
      </c>
      <c r="G32" s="71">
        <v>45796.429087500008</v>
      </c>
      <c r="H32" s="71">
        <f>I32-F32-G32</f>
        <v>-74277.87884413646</v>
      </c>
      <c r="I32" s="71">
        <f>E32-J32</f>
        <v>299128.01691003022</v>
      </c>
      <c r="J32" s="71">
        <f>'tab01'!D28</f>
        <v>112414</v>
      </c>
    </row>
    <row r="33" spans="1:10">
      <c r="A33" t="s">
        <v>448</v>
      </c>
      <c r="B33" s="71"/>
      <c r="C33" s="71">
        <f>SUM(C29:C32)</f>
        <v>2453845</v>
      </c>
      <c r="D33" s="71">
        <f>SUM(D29:D32)</f>
        <v>5561.5535121068997</v>
      </c>
      <c r="E33" s="71">
        <f>B29+D33+C33</f>
        <v>2637735.5535121071</v>
      </c>
      <c r="F33" s="71">
        <f>SUM(F29:F32)</f>
        <v>1529698.7333333334</v>
      </c>
      <c r="G33" s="71">
        <f>SUM(G29:G32)</f>
        <v>886550.56059570005</v>
      </c>
      <c r="H33" s="71">
        <f>SUM(H29:H32)</f>
        <v>109072.25958307352</v>
      </c>
      <c r="I33" s="71">
        <f>SUM(I29:I32)</f>
        <v>2525321.5535121066</v>
      </c>
      <c r="J33" s="71"/>
    </row>
    <row r="34" spans="1:10">
      <c r="B34" s="71"/>
      <c r="C34" s="71"/>
      <c r="D34" s="71"/>
      <c r="E34" s="71"/>
      <c r="F34" s="71"/>
      <c r="G34" s="71"/>
      <c r="H34" s="71"/>
      <c r="I34" s="71"/>
      <c r="J34" s="71"/>
    </row>
    <row r="35" spans="1:10">
      <c r="A35" t="s">
        <v>366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10">
      <c r="A36" t="s">
        <v>441</v>
      </c>
      <c r="B36" s="71">
        <f>J32</f>
        <v>112414</v>
      </c>
      <c r="C36" s="71">
        <v>3123790</v>
      </c>
      <c r="D36" s="71">
        <v>970.57274682270008</v>
      </c>
      <c r="E36" s="71">
        <f>SUM(B36:D36)</f>
        <v>3237174.5727468226</v>
      </c>
      <c r="F36" s="71">
        <v>427364.03333333333</v>
      </c>
      <c r="G36" s="71">
        <v>405776.25842880004</v>
      </c>
      <c r="H36" s="71">
        <f>I36-F36-G36</f>
        <v>99394.280984689249</v>
      </c>
      <c r="I36" s="71">
        <f>E36-J36</f>
        <v>932534.57274682261</v>
      </c>
      <c r="J36" s="71">
        <f>'tab01'!D30</f>
        <v>2304640</v>
      </c>
    </row>
    <row r="37" spans="1:10">
      <c r="A37" t="s">
        <v>442</v>
      </c>
      <c r="B37" s="71">
        <f>J36</f>
        <v>2304640</v>
      </c>
      <c r="C37" s="142" t="s">
        <v>443</v>
      </c>
      <c r="D37" s="71">
        <v>1377.3180835953001</v>
      </c>
      <c r="E37" s="71">
        <f>SUM(B37:D37)</f>
        <v>2306017.3180835955</v>
      </c>
      <c r="F37" s="71">
        <v>436184.80000000005</v>
      </c>
      <c r="G37" s="71">
        <v>410684.18792520004</v>
      </c>
      <c r="H37" s="71">
        <f>I37-F37-G37</f>
        <v>77784.330158395402</v>
      </c>
      <c r="I37" s="71">
        <f>E37-J37</f>
        <v>924653.31808359548</v>
      </c>
      <c r="J37" s="71">
        <f>'tab01'!D31</f>
        <v>1381364</v>
      </c>
    </row>
    <row r="38" spans="1:10">
      <c r="A38" t="s">
        <v>444</v>
      </c>
      <c r="B38" s="71">
        <f>J37</f>
        <v>1381364</v>
      </c>
      <c r="C38" s="142" t="s">
        <v>443</v>
      </c>
      <c r="D38" s="71">
        <v>969.65595476399994</v>
      </c>
      <c r="E38" s="71">
        <f>SUM(B38:D38)</f>
        <v>1382333.655954764</v>
      </c>
      <c r="F38" s="71">
        <v>430721.9</v>
      </c>
      <c r="G38" s="71">
        <v>197913.1792092</v>
      </c>
      <c r="H38" s="71">
        <f>I38-F38-G38</f>
        <v>54424.576745563973</v>
      </c>
      <c r="I38" s="71">
        <f>E38-J38</f>
        <v>683059.65595476399</v>
      </c>
      <c r="J38" s="71">
        <f>'tab01'!D32</f>
        <v>699274</v>
      </c>
    </row>
    <row r="39" spans="1:10">
      <c r="A39" t="s">
        <v>445</v>
      </c>
      <c r="B39" s="71">
        <f>J38</f>
        <v>699274</v>
      </c>
      <c r="C39" s="142" t="s">
        <v>443</v>
      </c>
      <c r="D39" s="71">
        <v>2260.0176839688002</v>
      </c>
      <c r="E39" s="71">
        <f>SUM(B39:D39)</f>
        <v>701534.01768396876</v>
      </c>
      <c r="F39" s="71">
        <v>401810.49999999994</v>
      </c>
      <c r="G39" s="71">
        <v>82782.674251200006</v>
      </c>
      <c r="H39" s="71">
        <f>I39-F39-G39</f>
        <v>-38797.156567231184</v>
      </c>
      <c r="I39" s="71">
        <f>E39-J39</f>
        <v>445796.01768396876</v>
      </c>
      <c r="J39" s="71">
        <f>'tab01'!D33</f>
        <v>255738</v>
      </c>
    </row>
    <row r="40" spans="1:10">
      <c r="A40" t="s">
        <v>448</v>
      </c>
      <c r="B40" s="71"/>
      <c r="C40" s="71">
        <f>SUM(C36:C39)</f>
        <v>3123790</v>
      </c>
      <c r="D40" s="71">
        <f>SUM(D36:D39)</f>
        <v>5577.5644691508005</v>
      </c>
      <c r="E40" s="71">
        <f>B36+D40+C40</f>
        <v>3241781.5644691507</v>
      </c>
      <c r="F40" s="71">
        <f>SUM(F36:F39)</f>
        <v>1696081.2333333334</v>
      </c>
      <c r="G40" s="71">
        <f>SUM(G36:G39)</f>
        <v>1097156.2998144</v>
      </c>
      <c r="H40" s="71">
        <f>SUM(H36:H39)</f>
        <v>192806.03132141742</v>
      </c>
      <c r="I40" s="71">
        <f>SUM(I36:I39)</f>
        <v>2986043.5644691512</v>
      </c>
      <c r="J40" s="71"/>
    </row>
    <row r="41" spans="1:10">
      <c r="B41" s="71"/>
      <c r="C41" s="71"/>
      <c r="D41" s="71"/>
      <c r="E41" s="71"/>
      <c r="F41" s="71"/>
      <c r="G41" s="71"/>
      <c r="H41" s="71"/>
      <c r="I41" s="71"/>
      <c r="J41" s="71"/>
    </row>
    <row r="42" spans="1:10">
      <c r="A42" t="s">
        <v>385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0">
      <c r="A43" t="s">
        <v>441</v>
      </c>
      <c r="B43" s="71">
        <f>J39</f>
        <v>255738</v>
      </c>
      <c r="C43" s="71">
        <v>3068342</v>
      </c>
      <c r="D43" s="71">
        <v>587.62468781730001</v>
      </c>
      <c r="E43" s="71">
        <f>SUM(B43:D43)</f>
        <v>3324667.6246878174</v>
      </c>
      <c r="F43" s="71">
        <v>442350.63333333342</v>
      </c>
      <c r="G43" s="71">
        <v>312634.2123744</v>
      </c>
      <c r="H43" s="71">
        <f>I43-F43-G43</f>
        <v>68256.778980083996</v>
      </c>
      <c r="I43" s="71">
        <f>E43-J43</f>
        <v>823241.62468781741</v>
      </c>
      <c r="J43" s="71">
        <f>'tab01'!D35</f>
        <v>2501426</v>
      </c>
    </row>
    <row r="44" spans="1:10">
      <c r="A44" t="s">
        <v>442</v>
      </c>
      <c r="B44" s="71">
        <f>J43</f>
        <v>2501426</v>
      </c>
      <c r="C44" s="142" t="s">
        <v>443</v>
      </c>
      <c r="D44" s="71">
        <v>777.73802462160006</v>
      </c>
      <c r="E44" s="71">
        <f>SUM(B44:D44)</f>
        <v>2502203.7380246217</v>
      </c>
      <c r="F44" s="71">
        <v>437154.7</v>
      </c>
      <c r="G44" s="71">
        <v>305219.62766400003</v>
      </c>
      <c r="H44" s="71">
        <f>I44-F44-G44</f>
        <v>90623.410360621696</v>
      </c>
      <c r="I44" s="71">
        <f>E44-J44</f>
        <v>832997.73802462174</v>
      </c>
      <c r="J44" s="71">
        <f>'tab01'!D36</f>
        <v>1669206</v>
      </c>
    </row>
    <row r="45" spans="1:10">
      <c r="A45" t="s">
        <v>444</v>
      </c>
      <c r="B45" s="71">
        <f>J44</f>
        <v>1669206</v>
      </c>
      <c r="C45" s="142" t="s">
        <v>443</v>
      </c>
      <c r="D45" s="71">
        <v>956.18894778959998</v>
      </c>
      <c r="E45" s="71">
        <f>SUM(B45:D45)</f>
        <v>1670162.1889477896</v>
      </c>
      <c r="F45" s="71">
        <v>431251.76666666672</v>
      </c>
      <c r="G45" s="71">
        <v>184313.4172467</v>
      </c>
      <c r="H45" s="71">
        <f>I45-F45-G45</f>
        <v>63898.00503442288</v>
      </c>
      <c r="I45" s="71">
        <f>E45-J45</f>
        <v>679463.1889477896</v>
      </c>
      <c r="J45" s="71">
        <f>'tab01'!D37</f>
        <v>990699</v>
      </c>
    </row>
    <row r="46" spans="1:10">
      <c r="A46" t="s">
        <v>445</v>
      </c>
      <c r="B46" s="71">
        <f>J45</f>
        <v>990699</v>
      </c>
      <c r="C46" s="142" t="s">
        <v>443</v>
      </c>
      <c r="D46" s="71">
        <v>1050.4569310431002</v>
      </c>
      <c r="E46" s="71">
        <f>SUM(B46:D46)</f>
        <v>991749.45693104307</v>
      </c>
      <c r="F46" s="71">
        <v>428094.6333333333</v>
      </c>
      <c r="G46" s="71">
        <v>137711.49276779999</v>
      </c>
      <c r="H46" s="71">
        <f>I46-F46-G46</f>
        <v>-23382.66917009023</v>
      </c>
      <c r="I46" s="71">
        <f>E46-J46</f>
        <v>542423.45693104307</v>
      </c>
      <c r="J46" s="71">
        <f>'tab01'!D38</f>
        <v>449326</v>
      </c>
    </row>
    <row r="47" spans="1:10">
      <c r="A47" t="s">
        <v>448</v>
      </c>
      <c r="B47" s="71"/>
      <c r="C47" s="71">
        <f>SUM(C43:C46)</f>
        <v>3068342</v>
      </c>
      <c r="D47" s="71">
        <f>SUM(D43:D46)</f>
        <v>3372.0085912715999</v>
      </c>
      <c r="E47" s="71">
        <f>B43+D47+C47</f>
        <v>3327452.0085912715</v>
      </c>
      <c r="F47" s="71">
        <f>SUM(F43:F46)</f>
        <v>1738851.7333333334</v>
      </c>
      <c r="G47" s="71">
        <f>SUM(G43:G46)</f>
        <v>939878.75005290005</v>
      </c>
      <c r="H47" s="71">
        <f>SUM(H43:H46)</f>
        <v>199395.52520503834</v>
      </c>
      <c r="I47" s="71">
        <f>SUM(I43:I46)</f>
        <v>2878126.0085912715</v>
      </c>
      <c r="J47" s="71"/>
    </row>
    <row r="48" spans="1:10"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t="s">
        <v>400</v>
      </c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t="s">
        <v>441</v>
      </c>
      <c r="B50" s="71">
        <f>J46</f>
        <v>449326</v>
      </c>
      <c r="C50" s="71">
        <v>3196726</v>
      </c>
      <c r="D50" s="71">
        <v>1520.9606341859999</v>
      </c>
      <c r="E50" s="71">
        <f>SUM(B50:D50)</f>
        <v>3647572.9606341859</v>
      </c>
      <c r="F50" s="71">
        <v>459203.3</v>
      </c>
      <c r="G50" s="71">
        <v>373814.78772750002</v>
      </c>
      <c r="H50" s="71">
        <f>I50-F50-G50</f>
        <v>113188.87290668592</v>
      </c>
      <c r="I50" s="71">
        <f>E50-J50</f>
        <v>946206.96063418593</v>
      </c>
      <c r="J50" s="71">
        <f>'tab01'!D40</f>
        <v>2701366</v>
      </c>
    </row>
    <row r="51" spans="1:10">
      <c r="A51" t="s">
        <v>442</v>
      </c>
      <c r="B51" s="71">
        <f>J50</f>
        <v>2701366</v>
      </c>
      <c r="C51" s="142" t="s">
        <v>443</v>
      </c>
      <c r="D51" s="71">
        <v>1910.4139815579001</v>
      </c>
      <c r="E51" s="71">
        <f>SUM(B51:D51)</f>
        <v>2703276.4139815578</v>
      </c>
      <c r="F51" s="71">
        <v>449817.45299999998</v>
      </c>
      <c r="G51" s="71">
        <v>396317.3644815</v>
      </c>
      <c r="H51" s="71">
        <f>I51-F51-G51</f>
        <v>70254.596500057844</v>
      </c>
      <c r="I51" s="71">
        <f>E51-J51</f>
        <v>916389.41398155782</v>
      </c>
      <c r="J51" s="71">
        <f>'tab01'!D41</f>
        <v>1786887</v>
      </c>
    </row>
    <row r="52" spans="1:10">
      <c r="A52" t="s">
        <v>444</v>
      </c>
      <c r="B52" s="71">
        <f>J51</f>
        <v>1786887</v>
      </c>
      <c r="C52" s="142" t="s">
        <v>443</v>
      </c>
      <c r="D52" s="71">
        <v>2568.6628165527</v>
      </c>
      <c r="E52" s="71">
        <f>SUM(B52:D52)</f>
        <v>1789455.6628165527</v>
      </c>
      <c r="F52" s="71">
        <v>453227.99633333331</v>
      </c>
      <c r="G52" s="71">
        <v>210005.31041699997</v>
      </c>
      <c r="H52" s="71">
        <f>I52-F52-G52</f>
        <v>34037.356066219392</v>
      </c>
      <c r="I52" s="71">
        <f>E52-J52</f>
        <v>697270.66281655268</v>
      </c>
      <c r="J52" s="71">
        <f>'tab01'!D42</f>
        <v>1092185</v>
      </c>
    </row>
    <row r="53" spans="1:10">
      <c r="A53" t="s">
        <v>445</v>
      </c>
      <c r="B53" s="71">
        <f>J52</f>
        <v>1092185</v>
      </c>
      <c r="C53" s="142" t="s">
        <v>443</v>
      </c>
      <c r="D53" s="71">
        <v>3033.7137178718999</v>
      </c>
      <c r="E53" s="71">
        <f>SUM(B53:D53)</f>
        <v>1095218.7137178718</v>
      </c>
      <c r="F53" s="71">
        <v>445456.89300000004</v>
      </c>
      <c r="G53" s="71">
        <v>136358.40601530002</v>
      </c>
      <c r="H53" s="71">
        <f>I53-F53-G53</f>
        <v>-60406.585297428246</v>
      </c>
      <c r="I53" s="71">
        <f>E53-J53</f>
        <v>521408.71371787181</v>
      </c>
      <c r="J53" s="71">
        <f>'tab01'!D43</f>
        <v>573810</v>
      </c>
    </row>
    <row r="54" spans="1:10">
      <c r="A54" t="s">
        <v>448</v>
      </c>
      <c r="B54" s="71"/>
      <c r="C54" s="71">
        <f>SUM(C50:C53)</f>
        <v>3196726</v>
      </c>
      <c r="D54" s="71">
        <f>SUM(D50:D53)</f>
        <v>9033.7511501685003</v>
      </c>
      <c r="E54" s="71">
        <f>B50+D54+C54</f>
        <v>3655085.7511501685</v>
      </c>
      <c r="F54" s="71">
        <f>SUM(F50:F53)</f>
        <v>1807705.6423333334</v>
      </c>
      <c r="G54" s="71">
        <f>SUM(G50:G53)</f>
        <v>1116495.8686412999</v>
      </c>
      <c r="H54" s="71">
        <f>SUM(H50:H53)</f>
        <v>157074.24017553491</v>
      </c>
      <c r="I54" s="71">
        <f>SUM(I50:I53)</f>
        <v>3081275.751150168</v>
      </c>
      <c r="J54" s="71"/>
    </row>
    <row r="55" spans="1:10">
      <c r="B55" s="71"/>
      <c r="C55" s="71"/>
      <c r="D55" s="71"/>
      <c r="E55" s="71"/>
      <c r="F55" s="71"/>
      <c r="G55" s="71"/>
      <c r="H55" s="71"/>
      <c r="I55" s="71"/>
      <c r="J55" s="71"/>
    </row>
    <row r="56" spans="1:10">
      <c r="A56" t="s">
        <v>404</v>
      </c>
      <c r="B56" s="71"/>
      <c r="C56" s="71"/>
      <c r="D56" s="71"/>
      <c r="E56" s="71"/>
      <c r="F56" s="71"/>
      <c r="G56" s="71"/>
      <c r="H56" s="71"/>
      <c r="I56" s="71"/>
      <c r="J56" s="71"/>
    </row>
    <row r="57" spans="1:10">
      <c r="A57" t="s">
        <v>441</v>
      </c>
      <c r="B57" s="71">
        <f>J53</f>
        <v>573810</v>
      </c>
      <c r="C57" s="71">
        <f>'tab02'!E53</f>
        <v>2677117</v>
      </c>
      <c r="D57" s="71">
        <v>1568.7447137250001</v>
      </c>
      <c r="E57" s="71">
        <f>SUM(B57:D57)</f>
        <v>3252495.7447137251</v>
      </c>
      <c r="F57" s="71">
        <v>467364.81099999999</v>
      </c>
      <c r="G57" s="71">
        <v>328060.35668910004</v>
      </c>
      <c r="H57" s="71">
        <f>I57-F57-G57</f>
        <v>96710.577024625032</v>
      </c>
      <c r="I57" s="71">
        <f>E57-J57</f>
        <v>892135.74471372506</v>
      </c>
      <c r="J57" s="71">
        <f>'tab01'!D45</f>
        <v>2360360</v>
      </c>
    </row>
    <row r="58" spans="1:10">
      <c r="A58" t="s">
        <v>442</v>
      </c>
      <c r="B58" s="71">
        <f>J57</f>
        <v>2360360</v>
      </c>
      <c r="C58" s="142" t="s">
        <v>443</v>
      </c>
      <c r="D58" s="71">
        <v>3726.7765839738004</v>
      </c>
      <c r="E58" s="71">
        <f>SUM(B58:D58)</f>
        <v>2364086.7765839738</v>
      </c>
      <c r="F58" s="71">
        <v>471037.22666666668</v>
      </c>
      <c r="G58" s="71">
        <v>431289.32001120003</v>
      </c>
      <c r="H58" s="71">
        <f>I58-F58-G58</f>
        <v>27778.229906107066</v>
      </c>
      <c r="I58" s="71">
        <f>E58-J58</f>
        <v>930104.77658397378</v>
      </c>
      <c r="J58" s="71">
        <f>'tab01'!D46</f>
        <v>1433982</v>
      </c>
    </row>
    <row r="59" spans="1:10">
      <c r="A59" t="s">
        <v>444</v>
      </c>
      <c r="B59" s="71">
        <f>J58</f>
        <v>1433982</v>
      </c>
      <c r="C59" s="142" t="s">
        <v>443</v>
      </c>
      <c r="D59" s="71">
        <v>2237.1732070863</v>
      </c>
      <c r="E59" s="71">
        <f>SUM(B59:D59)</f>
        <v>1436219.1732070863</v>
      </c>
      <c r="F59" s="71">
        <v>456013.5</v>
      </c>
      <c r="G59" s="71">
        <v>243753.14958120001</v>
      </c>
      <c r="H59" s="71">
        <f>I59-F59-G59</f>
        <v>60309.523625886271</v>
      </c>
      <c r="I59" s="71">
        <f>E59-J59</f>
        <v>760076.17320708628</v>
      </c>
      <c r="J59" s="71">
        <f>'tab01'!D47</f>
        <v>676143</v>
      </c>
    </row>
    <row r="60" spans="1:10">
      <c r="A60" t="s">
        <v>445</v>
      </c>
      <c r="B60" s="71">
        <f>J59</f>
        <v>676143</v>
      </c>
      <c r="C60" s="142" t="s">
        <v>443</v>
      </c>
      <c r="D60" s="71">
        <v>2338.1084081922004</v>
      </c>
      <c r="E60" s="71">
        <f>SUM(B60:D60)</f>
        <v>678481.10840819217</v>
      </c>
      <c r="F60" s="71">
        <v>408991.79999999993</v>
      </c>
      <c r="G60" s="71">
        <v>155726.23074750003</v>
      </c>
      <c r="H60" s="71">
        <f>I60-F60-G60</f>
        <v>-91270.922339307785</v>
      </c>
      <c r="I60" s="71">
        <f>E60-J60</f>
        <v>473447.10840819217</v>
      </c>
      <c r="J60" s="71">
        <f>'tab01'!D48</f>
        <v>205034</v>
      </c>
    </row>
    <row r="61" spans="1:10">
      <c r="A61" t="s">
        <v>448</v>
      </c>
      <c r="B61" s="71"/>
      <c r="C61" s="71">
        <f>SUM(C57:C60)</f>
        <v>2677117</v>
      </c>
      <c r="D61" s="71">
        <f>SUM(D57:D60)</f>
        <v>9870.8029129773004</v>
      </c>
      <c r="E61" s="71">
        <f>B57+D61+C61</f>
        <v>3260797.8029129775</v>
      </c>
      <c r="F61" s="71">
        <f>SUM(F57:F60)</f>
        <v>1803407.3376666666</v>
      </c>
      <c r="G61" s="71">
        <f>SUM(G57:G60)</f>
        <v>1158829.057029</v>
      </c>
      <c r="H61" s="71">
        <f>SUM(H57:H60)</f>
        <v>93527.408217310585</v>
      </c>
      <c r="I61" s="71">
        <f>SUM(I57:I60)</f>
        <v>3055763.8029129775</v>
      </c>
      <c r="J61" s="71"/>
    </row>
    <row r="62" spans="1:10" ht="13.2" customHeight="1">
      <c r="B62" s="71"/>
      <c r="C62" s="71"/>
      <c r="D62" s="71"/>
      <c r="E62" s="71"/>
      <c r="F62" s="71"/>
      <c r="G62" s="71"/>
      <c r="H62" s="71"/>
      <c r="I62" s="71"/>
      <c r="J62" s="71"/>
    </row>
    <row r="63" spans="1:10">
      <c r="A63" t="s">
        <v>411</v>
      </c>
      <c r="B63" s="71"/>
      <c r="C63" s="71"/>
      <c r="D63" s="71"/>
      <c r="E63" s="71"/>
      <c r="F63" s="71"/>
      <c r="G63" s="71"/>
      <c r="H63" s="71"/>
      <c r="I63" s="71"/>
      <c r="J63" s="71"/>
    </row>
    <row r="64" spans="1:10">
      <c r="A64" t="s">
        <v>441</v>
      </c>
      <c r="B64" s="71">
        <f>J60</f>
        <v>205034</v>
      </c>
      <c r="C64" s="71">
        <f>'tab02'!E54</f>
        <v>2967007</v>
      </c>
      <c r="D64" s="71">
        <v>2760.0435538011006</v>
      </c>
      <c r="E64" s="71">
        <f>SUM(B64:D64)</f>
        <v>3174801.0435538013</v>
      </c>
      <c r="F64" s="71">
        <v>420422.06666666665</v>
      </c>
      <c r="G64" s="71">
        <v>386933.7216318</v>
      </c>
      <c r="H64" s="71">
        <f>I64-F64-G64</f>
        <v>92013.255255334603</v>
      </c>
      <c r="I64" s="71">
        <f>E64-J64</f>
        <v>899369.04355380125</v>
      </c>
      <c r="J64" s="71">
        <f>'tab01'!D50</f>
        <v>2275432</v>
      </c>
    </row>
    <row r="65" spans="1:10">
      <c r="A65" t="s">
        <v>442</v>
      </c>
      <c r="B65" s="71">
        <f>J64</f>
        <v>2275432</v>
      </c>
      <c r="C65" s="142" t="s">
        <v>443</v>
      </c>
      <c r="D65" s="71">
        <v>4596.0753527766001</v>
      </c>
      <c r="E65" s="71">
        <f>SUM(B65:D65)</f>
        <v>2280028.0753527768</v>
      </c>
      <c r="F65" s="71">
        <v>421926.73333333328</v>
      </c>
      <c r="G65" s="71">
        <v>482875.27018920006</v>
      </c>
      <c r="H65" s="71">
        <f>I65-F65-G65</f>
        <v>73437.071830243454</v>
      </c>
      <c r="I65" s="71">
        <f>E65-J65</f>
        <v>978239.0753527768</v>
      </c>
      <c r="J65" s="71">
        <f>'tab01'!D51</f>
        <v>1301789</v>
      </c>
    </row>
    <row r="66" spans="1:10">
      <c r="A66" t="s">
        <v>444</v>
      </c>
      <c r="B66" s="71">
        <f>J65</f>
        <v>1301789</v>
      </c>
      <c r="C66" s="142" t="s">
        <v>443</v>
      </c>
      <c r="D66" s="71">
        <v>3771.8175993330001</v>
      </c>
      <c r="E66" s="71">
        <f>SUM(B66:D66)</f>
        <v>1305560.8175993329</v>
      </c>
      <c r="F66" s="71">
        <v>430856.66666666663</v>
      </c>
      <c r="G66" s="71">
        <v>243683.37329490003</v>
      </c>
      <c r="H66" s="71">
        <f>I66-F66-G66</f>
        <v>34861.777637766238</v>
      </c>
      <c r="I66" s="71">
        <f>E66-J66</f>
        <v>709401.81759933289</v>
      </c>
      <c r="J66" s="71">
        <f>'tab01'!D52</f>
        <v>596159</v>
      </c>
    </row>
    <row r="67" spans="1:10">
      <c r="A67" t="s">
        <v>445</v>
      </c>
      <c r="B67" s="71">
        <f>J66</f>
        <v>596159</v>
      </c>
      <c r="C67" s="142" t="s">
        <v>443</v>
      </c>
      <c r="D67" s="71">
        <v>2135.1931253835</v>
      </c>
      <c r="E67" s="71">
        <f>SUM(B67:D67)</f>
        <v>598294.19312538346</v>
      </c>
      <c r="F67" s="71">
        <v>388716.6</v>
      </c>
      <c r="G67" s="71">
        <v>165801.2063127</v>
      </c>
      <c r="H67" s="71">
        <f>I67-F67-G67</f>
        <v>-94421.613187316514</v>
      </c>
      <c r="I67" s="71">
        <f>E67-J67</f>
        <v>460096.19312538346</v>
      </c>
      <c r="J67" s="71">
        <f>'tab01'!D53</f>
        <v>138198</v>
      </c>
    </row>
    <row r="68" spans="1:10">
      <c r="A68" t="s">
        <v>448</v>
      </c>
      <c r="B68" s="71"/>
      <c r="C68" s="71">
        <f>SUM(C64:C67)</f>
        <v>2967007</v>
      </c>
      <c r="D68" s="71">
        <f>SUM(D64:D67)</f>
        <v>13263.129631294199</v>
      </c>
      <c r="E68" s="71">
        <f>B64+D68+C68</f>
        <v>3185304.1296312944</v>
      </c>
      <c r="F68" s="71">
        <f>SUM(F64:F67)</f>
        <v>1661922.0666666664</v>
      </c>
      <c r="G68" s="71">
        <f>SUM(G64:G67)</f>
        <v>1279293.5714286</v>
      </c>
      <c r="H68" s="71">
        <f>SUM(H64:H67)</f>
        <v>105890.49153602778</v>
      </c>
      <c r="I68" s="71">
        <f>SUM(I64:I67)</f>
        <v>3047106.1296312944</v>
      </c>
      <c r="J68" s="71"/>
    </row>
    <row r="69" spans="1:10">
      <c r="B69" s="71"/>
      <c r="C69" s="71"/>
      <c r="D69" s="71"/>
      <c r="E69" s="71"/>
      <c r="F69" s="71"/>
      <c r="G69" s="71"/>
      <c r="H69" s="71"/>
      <c r="I69" s="71"/>
      <c r="J69" s="71"/>
    </row>
    <row r="70" spans="1:10">
      <c r="A70" t="s">
        <v>417</v>
      </c>
      <c r="B70" s="71"/>
      <c r="C70" s="71"/>
      <c r="D70" s="71"/>
      <c r="E70" s="71"/>
      <c r="F70" s="71"/>
      <c r="G70" s="71"/>
      <c r="H70" s="71"/>
      <c r="I70" s="71"/>
      <c r="J70" s="71"/>
    </row>
    <row r="71" spans="1:10">
      <c r="A71" t="s">
        <v>441</v>
      </c>
      <c r="B71" s="71">
        <f>J67</f>
        <v>138198</v>
      </c>
      <c r="C71" s="71">
        <f>'tab02'!E55</f>
        <v>3360931</v>
      </c>
      <c r="D71" s="71">
        <v>3171.0505351308002</v>
      </c>
      <c r="E71" s="71">
        <f>SUM(B71:D71)</f>
        <v>3502300.0505351308</v>
      </c>
      <c r="F71" s="71">
        <v>445062.33333333331</v>
      </c>
      <c r="G71" s="71">
        <v>535978.25750910002</v>
      </c>
      <c r="H71" s="71">
        <f>I71-F71-G71</f>
        <v>182709.45969269751</v>
      </c>
      <c r="I71" s="71">
        <f>E71-J71</f>
        <v>1163750.0505351308</v>
      </c>
      <c r="J71" s="71">
        <f>'tab01'!D55</f>
        <v>2338550</v>
      </c>
    </row>
    <row r="72" spans="1:10">
      <c r="A72" t="s">
        <v>442</v>
      </c>
      <c r="B72" s="71">
        <f>J71</f>
        <v>2338550</v>
      </c>
      <c r="C72" s="142" t="s">
        <v>443</v>
      </c>
      <c r="D72" s="71">
        <v>5609.5613607789001</v>
      </c>
      <c r="E72" s="71">
        <f>SUM(B72:D72)</f>
        <v>2344159.5613607788</v>
      </c>
      <c r="F72" s="71">
        <v>494208.20666666667</v>
      </c>
      <c r="G72" s="71">
        <v>622287.15116190002</v>
      </c>
      <c r="H72" s="71">
        <f>I72-F72-G72</f>
        <v>-42403.796467787935</v>
      </c>
      <c r="I72" s="71">
        <f>E72-J72</f>
        <v>1074091.5613607788</v>
      </c>
      <c r="J72" s="71">
        <f>'tab01'!D56</f>
        <v>1270068</v>
      </c>
    </row>
    <row r="73" spans="1:10">
      <c r="A73" t="s">
        <v>444</v>
      </c>
      <c r="B73" s="71">
        <f>J72</f>
        <v>1270068</v>
      </c>
      <c r="C73" s="142" t="s">
        <v>443</v>
      </c>
      <c r="D73" s="71">
        <v>3181.7533502978999</v>
      </c>
      <c r="E73" s="71">
        <f>SUM(B73:D73)</f>
        <v>1273249.7533502979</v>
      </c>
      <c r="F73" s="71">
        <v>425468.53833333333</v>
      </c>
      <c r="G73" s="71">
        <v>218940.71687040001</v>
      </c>
      <c r="H73" s="71">
        <f>I73-F73-G73</f>
        <v>57717.498146564583</v>
      </c>
      <c r="I73" s="71">
        <f>E73-J73</f>
        <v>702126.75335029792</v>
      </c>
      <c r="J73" s="71">
        <f>'tab01'!D57</f>
        <v>571123</v>
      </c>
    </row>
    <row r="74" spans="1:10">
      <c r="A74" t="s">
        <v>445</v>
      </c>
      <c r="B74" s="71">
        <f>J73</f>
        <v>571123</v>
      </c>
      <c r="C74" s="142" t="s">
        <v>443</v>
      </c>
      <c r="D74" s="71">
        <v>2625.7415824436998</v>
      </c>
      <c r="E74" s="71">
        <f>SUM(B74:D74)</f>
        <v>573748.7415824437</v>
      </c>
      <c r="F74" s="71">
        <v>386947.19000000006</v>
      </c>
      <c r="G74" s="71">
        <v>121841.99896890001</v>
      </c>
      <c r="H74" s="71">
        <f>I74-F74-G74</f>
        <v>-85925.447386456362</v>
      </c>
      <c r="I74" s="71">
        <f>E74-J74</f>
        <v>422863.7415824437</v>
      </c>
      <c r="J74" s="71">
        <f>'tab01'!D58</f>
        <v>150885</v>
      </c>
    </row>
    <row r="75" spans="1:10">
      <c r="A75" t="s">
        <v>354</v>
      </c>
      <c r="B75" s="71"/>
      <c r="C75" s="71">
        <f>SUM(C71:C74)</f>
        <v>3360931</v>
      </c>
      <c r="D75" s="71">
        <f>SUM(D71:D74)</f>
        <v>14588.1068286513</v>
      </c>
      <c r="E75" s="71">
        <f>B71+D75+C75</f>
        <v>3513717.1068286514</v>
      </c>
      <c r="F75" s="71">
        <f>SUM(F71:F74)</f>
        <v>1751686.2683333335</v>
      </c>
      <c r="G75" s="71">
        <f>SUM(G71:G74)</f>
        <v>1499048.1245103001</v>
      </c>
      <c r="H75" s="71">
        <f>SUM(H71:H74)</f>
        <v>112097.71398501779</v>
      </c>
      <c r="I75" s="71">
        <f>SUM(I71:I74)</f>
        <v>3362832.1068286514</v>
      </c>
      <c r="J75" s="71"/>
    </row>
    <row r="76" spans="1:10">
      <c r="B76" s="71"/>
      <c r="C76" s="71"/>
      <c r="D76" s="71"/>
      <c r="E76" s="71"/>
      <c r="F76" s="71"/>
      <c r="G76" s="71"/>
      <c r="H76" s="71"/>
      <c r="I76" s="71"/>
      <c r="J76" s="71"/>
    </row>
    <row r="77" spans="1:10">
      <c r="A77" t="s">
        <v>420</v>
      </c>
      <c r="B77" s="71"/>
      <c r="C77" s="71"/>
      <c r="D77" s="71"/>
      <c r="E77" s="71"/>
      <c r="F77" s="71"/>
      <c r="G77" s="71"/>
      <c r="H77" s="71"/>
      <c r="I77" s="71"/>
      <c r="J77" s="71"/>
    </row>
    <row r="78" spans="1:10">
      <c r="A78" t="s">
        <v>441</v>
      </c>
      <c r="B78" s="71">
        <f>J74</f>
        <v>150885</v>
      </c>
      <c r="C78" s="71">
        <f>'tab02'!E56</f>
        <v>3331306</v>
      </c>
      <c r="D78" s="71">
        <v>3739.2416269929004</v>
      </c>
      <c r="E78" s="71">
        <f>SUM(B78:D78)</f>
        <v>3485930.2416269928</v>
      </c>
      <c r="F78" s="71">
        <v>442633.99966666673</v>
      </c>
      <c r="G78" s="71">
        <v>622063.49225999997</v>
      </c>
      <c r="H78" s="71">
        <f>I78-F78-G78</f>
        <v>143148.74970032612</v>
      </c>
      <c r="I78" s="71">
        <f>E78-J78</f>
        <v>1207846.2416269928</v>
      </c>
      <c r="J78" s="71">
        <f>'tab01'!D60</f>
        <v>2278084</v>
      </c>
    </row>
    <row r="79" spans="1:10">
      <c r="A79" t="s">
        <v>442</v>
      </c>
      <c r="B79" s="71">
        <f>J78</f>
        <v>2278084</v>
      </c>
      <c r="C79" s="142" t="s">
        <v>443</v>
      </c>
      <c r="D79" s="71">
        <v>4874.7842171721004</v>
      </c>
      <c r="E79" s="71">
        <f>SUM(B79:D79)</f>
        <v>2282958.7842171723</v>
      </c>
      <c r="F79" s="71">
        <v>430928.32833333337</v>
      </c>
      <c r="G79" s="71">
        <v>550535.00913809997</v>
      </c>
      <c r="H79" s="71">
        <f>I79-F79-G79</f>
        <v>52695.446745738969</v>
      </c>
      <c r="I79" s="71">
        <f>E79-J79</f>
        <v>1034158.7842171723</v>
      </c>
      <c r="J79" s="71">
        <f>'tab01'!D61</f>
        <v>1248800</v>
      </c>
    </row>
    <row r="80" spans="1:10">
      <c r="A80" t="s">
        <v>444</v>
      </c>
      <c r="B80" s="71">
        <f>J79</f>
        <v>1248800</v>
      </c>
      <c r="C80" s="142" t="s">
        <v>443</v>
      </c>
      <c r="D80" s="71">
        <v>2933.2424794659</v>
      </c>
      <c r="E80" s="71">
        <f>SUM(B80:D80)</f>
        <v>1251733.2424794659</v>
      </c>
      <c r="F80" s="71">
        <v>396293.86666666664</v>
      </c>
      <c r="G80" s="71">
        <v>226853.17871579999</v>
      </c>
      <c r="H80" s="71">
        <f>I80-F80-G80</f>
        <v>9303.197096999269</v>
      </c>
      <c r="I80" s="71">
        <f>E80-J80</f>
        <v>632450.2424794659</v>
      </c>
      <c r="J80" s="71">
        <f>'tab01'!D62</f>
        <v>619283</v>
      </c>
    </row>
    <row r="81" spans="1:10">
      <c r="A81" t="s">
        <v>445</v>
      </c>
      <c r="B81" s="71">
        <f>J80</f>
        <v>619283</v>
      </c>
      <c r="C81" s="142" t="s">
        <v>443</v>
      </c>
      <c r="D81" s="71">
        <v>2901.8281592013</v>
      </c>
      <c r="E81" s="71">
        <f>SUM(B81:D81)</f>
        <v>622184.82815920131</v>
      </c>
      <c r="F81" s="71">
        <v>378186.4</v>
      </c>
      <c r="G81" s="71">
        <v>105525.9589839</v>
      </c>
      <c r="H81" s="71">
        <f>I81-F81-G81</f>
        <v>-76540.530824698712</v>
      </c>
      <c r="I81" s="71">
        <f>E81-J81</f>
        <v>407171.82815920131</v>
      </c>
      <c r="J81" s="71">
        <f>'tab01'!D63</f>
        <v>215013</v>
      </c>
    </row>
    <row r="82" spans="1:10">
      <c r="A82" t="s">
        <v>354</v>
      </c>
      <c r="B82" s="71"/>
      <c r="C82" s="71">
        <f>SUM(C78:C81)</f>
        <v>3331306</v>
      </c>
      <c r="D82" s="71">
        <f>SUM(D78:D81)</f>
        <v>14449.096482832199</v>
      </c>
      <c r="E82" s="71">
        <f>B78+D82+C82</f>
        <v>3496640.096482832</v>
      </c>
      <c r="F82" s="71">
        <f>SUM(F78:F81)</f>
        <v>1648042.5946666668</v>
      </c>
      <c r="G82" s="71">
        <f>SUM(G78:G81)</f>
        <v>1504977.6390978</v>
      </c>
      <c r="H82" s="71">
        <f>SUM(H78:H81)</f>
        <v>128606.86271836565</v>
      </c>
      <c r="I82" s="71">
        <f>SUM(I78:I81)</f>
        <v>3281627.0964828325</v>
      </c>
      <c r="J82" s="71"/>
    </row>
    <row r="83" spans="1:10">
      <c r="B83" s="71"/>
      <c r="C83" s="71"/>
      <c r="D83" s="71"/>
      <c r="E83" s="71"/>
      <c r="F83" s="71"/>
      <c r="G83" s="71"/>
      <c r="H83" s="71"/>
      <c r="I83" s="71"/>
      <c r="J83" s="71"/>
    </row>
    <row r="84" spans="1:10">
      <c r="A84" t="s">
        <v>425</v>
      </c>
      <c r="B84" s="71"/>
      <c r="C84" s="71"/>
      <c r="D84" s="71"/>
      <c r="E84" s="71"/>
      <c r="F84" s="71"/>
      <c r="G84" s="71"/>
      <c r="H84" s="71"/>
      <c r="I84" s="71"/>
      <c r="J84" s="71"/>
    </row>
    <row r="85" spans="1:10">
      <c r="A85" t="s">
        <v>441</v>
      </c>
      <c r="B85" s="71">
        <f>J81</f>
        <v>215013</v>
      </c>
      <c r="C85" s="71">
        <f>'tab02'!E57</f>
        <v>3097179</v>
      </c>
      <c r="D85" s="71">
        <v>2844.1205983722002</v>
      </c>
      <c r="E85" s="71">
        <f>SUM(B85:D85)</f>
        <v>3315036.1205983721</v>
      </c>
      <c r="F85" s="142" t="s">
        <v>403</v>
      </c>
      <c r="G85" s="71">
        <v>424831.50450509996</v>
      </c>
      <c r="H85" s="142" t="s">
        <v>403</v>
      </c>
      <c r="I85" s="71">
        <f>E85-J85</f>
        <v>945151.12059837207</v>
      </c>
      <c r="J85" s="71">
        <f>'tab01'!D65</f>
        <v>2369885</v>
      </c>
    </row>
    <row r="86" spans="1:10">
      <c r="A86" t="s">
        <v>442</v>
      </c>
      <c r="B86" s="71">
        <f>J85</f>
        <v>2369885</v>
      </c>
      <c r="C86" s="142" t="s">
        <v>443</v>
      </c>
      <c r="D86" s="71">
        <v>3141.6916574442002</v>
      </c>
      <c r="E86" s="71">
        <f>SUM(B86:D86)</f>
        <v>2373026.691657444</v>
      </c>
      <c r="F86" s="142" t="s">
        <v>403</v>
      </c>
      <c r="G86" s="71">
        <v>479457.93078500731</v>
      </c>
      <c r="H86" s="142" t="s">
        <v>403</v>
      </c>
      <c r="I86" s="71">
        <f>E86-J86</f>
        <v>998538.691657444</v>
      </c>
      <c r="J86" s="71">
        <f>'tab01'!D66</f>
        <v>1374488</v>
      </c>
    </row>
    <row r="87" spans="1:10">
      <c r="A87" t="s">
        <v>444</v>
      </c>
      <c r="B87" s="71">
        <f>J86</f>
        <v>1374488</v>
      </c>
      <c r="C87" s="142" t="s">
        <v>443</v>
      </c>
      <c r="D87" s="71">
        <v>5330.7780169035004</v>
      </c>
      <c r="E87" s="71">
        <f>SUM(B87:D87)</f>
        <v>1379818.7780169034</v>
      </c>
      <c r="F87" s="142" t="s">
        <v>403</v>
      </c>
      <c r="G87" s="71">
        <v>256979.2281147</v>
      </c>
      <c r="H87" s="142" t="s">
        <v>403</v>
      </c>
      <c r="I87" s="71">
        <f>E87-J87</f>
        <v>712353.77801690344</v>
      </c>
      <c r="J87" s="71">
        <f>'tab01'!D67</f>
        <v>667465</v>
      </c>
    </row>
    <row r="88" spans="1:10">
      <c r="A88" t="s">
        <v>445</v>
      </c>
      <c r="B88" s="71">
        <f>J87</f>
        <v>667465</v>
      </c>
      <c r="C88" s="142" t="s">
        <v>443</v>
      </c>
      <c r="D88" s="71">
        <v>4815.411431859</v>
      </c>
      <c r="E88" s="71">
        <f>SUM(B88:D88)</f>
        <v>672280.41143185901</v>
      </c>
      <c r="F88" s="142" t="s">
        <v>403</v>
      </c>
      <c r="G88" s="71">
        <v>203982.31809300242</v>
      </c>
      <c r="H88" s="142" t="s">
        <v>403</v>
      </c>
      <c r="I88" s="71">
        <f>E88-J88</f>
        <v>502910.41143185901</v>
      </c>
      <c r="J88" s="71">
        <f>'tab01'!D68</f>
        <v>169370</v>
      </c>
    </row>
    <row r="89" spans="1:10">
      <c r="A89" t="s">
        <v>354</v>
      </c>
      <c r="B89" s="71"/>
      <c r="C89" s="71">
        <f>SUM(C85:C88)</f>
        <v>3097179</v>
      </c>
      <c r="D89" s="71">
        <f>SUM(D85:D88)</f>
        <v>16132.001704578901</v>
      </c>
      <c r="E89" s="71">
        <f>B85+D89+C89</f>
        <v>3328324.0017045788</v>
      </c>
      <c r="F89" s="71">
        <v>1703019</v>
      </c>
      <c r="G89" s="71">
        <f>SUM(G85:G88)</f>
        <v>1365250.9814978098</v>
      </c>
      <c r="H89" s="71">
        <f>I89-F89-G89</f>
        <v>90684.020206768531</v>
      </c>
      <c r="I89" s="71">
        <f>SUM(I85:I88)</f>
        <v>3158954.0017045783</v>
      </c>
      <c r="J89" s="71"/>
    </row>
    <row r="90" spans="1:10">
      <c r="B90" s="71"/>
      <c r="C90" s="71"/>
      <c r="D90" s="71"/>
      <c r="E90" s="71"/>
      <c r="F90" s="71"/>
      <c r="G90" s="71"/>
      <c r="H90" s="71"/>
      <c r="I90" s="71"/>
      <c r="J90" s="71"/>
    </row>
    <row r="91" spans="1:10">
      <c r="A91" t="s">
        <v>438</v>
      </c>
      <c r="B91" s="71"/>
      <c r="C91" s="71"/>
      <c r="D91" s="71"/>
      <c r="E91" s="71"/>
      <c r="F91" s="71"/>
      <c r="G91" s="71"/>
      <c r="H91" s="71"/>
      <c r="I91" s="71"/>
      <c r="J91" s="71"/>
    </row>
    <row r="92" spans="1:10">
      <c r="A92" t="s">
        <v>441</v>
      </c>
      <c r="B92" s="71">
        <f>J88</f>
        <v>169370</v>
      </c>
      <c r="C92" s="71">
        <f>'tab02'!E58</f>
        <v>3042044</v>
      </c>
      <c r="D92" s="71">
        <v>4286.3493307698</v>
      </c>
      <c r="E92" s="71">
        <f>SUM(B92:D92)</f>
        <v>3215700.3493307699</v>
      </c>
      <c r="F92" s="142" t="s">
        <v>403</v>
      </c>
      <c r="G92" s="71">
        <v>626178</v>
      </c>
      <c r="H92" s="142" t="s">
        <v>403</v>
      </c>
      <c r="I92" s="71">
        <f>E92-J92</f>
        <v>1249539.3493307699</v>
      </c>
      <c r="J92" s="71">
        <f>'tab01'!D70</f>
        <v>1966161</v>
      </c>
    </row>
    <row r="93" spans="1:10">
      <c r="A93" t="s">
        <v>442</v>
      </c>
      <c r="B93" s="71">
        <f>J92</f>
        <v>1966161</v>
      </c>
      <c r="C93" s="142" t="s">
        <v>443</v>
      </c>
      <c r="D93" s="71">
        <v>4718.1036423045007</v>
      </c>
      <c r="E93" s="71">
        <f>SUM(B93:D93)</f>
        <v>1970879.1036423044</v>
      </c>
      <c r="F93" s="142" t="s">
        <v>403</v>
      </c>
      <c r="G93" s="71">
        <v>522187</v>
      </c>
      <c r="H93" s="142" t="s">
        <v>403</v>
      </c>
      <c r="I93" s="71">
        <f>E93-J93</f>
        <v>972859.10364230443</v>
      </c>
      <c r="J93" s="71">
        <f>'tab01'!D71</f>
        <v>998020</v>
      </c>
    </row>
    <row r="94" spans="1:10">
      <c r="A94" t="s">
        <v>444</v>
      </c>
      <c r="B94" s="71">
        <f>J93</f>
        <v>998020</v>
      </c>
      <c r="C94" s="142" t="s">
        <v>443</v>
      </c>
      <c r="D94" s="71">
        <v>7837.8888527835006</v>
      </c>
      <c r="E94" s="71">
        <f>SUM(B94:D94)</f>
        <v>1005857.8888527835</v>
      </c>
      <c r="F94" s="142" t="s">
        <v>403</v>
      </c>
      <c r="G94" s="71">
        <v>128665</v>
      </c>
      <c r="H94" s="142" t="s">
        <v>403</v>
      </c>
      <c r="I94" s="71">
        <f>E94-J94</f>
        <v>571193.88885278348</v>
      </c>
      <c r="J94" s="71">
        <f>'tab01'!D72</f>
        <v>434664</v>
      </c>
    </row>
    <row r="95" spans="1:10">
      <c r="A95" t="s">
        <v>445</v>
      </c>
      <c r="B95" s="71">
        <f>J94</f>
        <v>434664</v>
      </c>
      <c r="C95" s="142" t="s">
        <v>443</v>
      </c>
      <c r="D95" s="71">
        <v>23674</v>
      </c>
      <c r="E95" s="71">
        <f>SUM(B95:D95)</f>
        <v>458338</v>
      </c>
      <c r="F95" s="142" t="s">
        <v>403</v>
      </c>
      <c r="G95" s="71">
        <v>50496</v>
      </c>
      <c r="H95" s="142" t="s">
        <v>403</v>
      </c>
      <c r="I95" s="71">
        <f>E95-J95</f>
        <v>317781</v>
      </c>
      <c r="J95" s="71">
        <f>'tab01'!D73</f>
        <v>140557</v>
      </c>
    </row>
    <row r="96" spans="1:10">
      <c r="A96" t="s">
        <v>354</v>
      </c>
      <c r="B96" s="71"/>
      <c r="C96" s="71">
        <f>SUM(C92:C95)</f>
        <v>3042044</v>
      </c>
      <c r="D96" s="71">
        <f>SUM(D92:D95)</f>
        <v>40516.341825857802</v>
      </c>
      <c r="E96" s="71">
        <f>B92+D96+C96</f>
        <v>3251930.3418258578</v>
      </c>
      <c r="F96" s="71">
        <v>1688903</v>
      </c>
      <c r="G96" s="71">
        <f>SUM(G92:G95)</f>
        <v>1327526</v>
      </c>
      <c r="H96" s="71">
        <f>I96-F96-G96</f>
        <v>94944.341825857759</v>
      </c>
      <c r="I96" s="71">
        <f>SUM(I92:I95)</f>
        <v>3111373.3418258578</v>
      </c>
      <c r="J96" s="71"/>
    </row>
    <row r="97" spans="1:10">
      <c r="B97" s="71"/>
      <c r="C97" s="71"/>
      <c r="D97" s="71"/>
      <c r="E97" s="71"/>
      <c r="F97" s="142"/>
      <c r="G97" s="71"/>
      <c r="H97" s="142"/>
      <c r="I97" s="71"/>
      <c r="J97" s="71"/>
    </row>
    <row r="98" spans="1:10">
      <c r="A98" t="s">
        <v>464</v>
      </c>
      <c r="B98" s="71"/>
      <c r="C98" s="71"/>
      <c r="D98" s="71"/>
      <c r="E98" s="71"/>
      <c r="F98" s="142"/>
      <c r="G98" s="71"/>
      <c r="H98" s="142"/>
      <c r="I98" s="71"/>
      <c r="J98" s="71"/>
    </row>
    <row r="99" spans="1:10">
      <c r="A99" t="s">
        <v>441</v>
      </c>
      <c r="B99" s="71">
        <f>J95</f>
        <v>140557</v>
      </c>
      <c r="C99" s="71">
        <f>'tab02'!E59</f>
        <v>3357004</v>
      </c>
      <c r="D99" s="71">
        <v>7488.2060411865004</v>
      </c>
      <c r="E99" s="71">
        <f>SUM(B99:D99)</f>
        <v>3505049.2060411866</v>
      </c>
      <c r="F99" s="142" t="s">
        <v>403</v>
      </c>
      <c r="G99" s="71">
        <v>676505.78762861853</v>
      </c>
      <c r="H99" s="142" t="s">
        <v>403</v>
      </c>
      <c r="I99" s="71">
        <f>E99-J99</f>
        <v>1351428.2060411866</v>
      </c>
      <c r="J99" s="71">
        <f>'tab01'!D75</f>
        <v>2153621</v>
      </c>
    </row>
    <row r="100" spans="1:10">
      <c r="A100" t="s">
        <v>442</v>
      </c>
      <c r="B100" s="71">
        <f>J99</f>
        <v>2153621</v>
      </c>
      <c r="C100" s="142" t="s">
        <v>443</v>
      </c>
      <c r="D100" s="71">
        <v>8415.7309346565016</v>
      </c>
      <c r="E100" s="71">
        <f>SUM(B100:D100)</f>
        <v>2162036.7309346567</v>
      </c>
      <c r="F100" s="142" t="s">
        <v>403</v>
      </c>
      <c r="G100" s="71">
        <v>712229.04658936174</v>
      </c>
      <c r="H100" s="142" t="s">
        <v>403</v>
      </c>
      <c r="I100" s="71">
        <f>E100-J100</f>
        <v>1168208.7309346567</v>
      </c>
      <c r="J100" s="71">
        <f>'tab01'!D76</f>
        <v>993828</v>
      </c>
    </row>
    <row r="101" spans="1:10">
      <c r="A101" t="s">
        <v>444</v>
      </c>
      <c r="B101" s="71">
        <f>J100</f>
        <v>993828</v>
      </c>
      <c r="C101" s="142" t="s">
        <v>443</v>
      </c>
      <c r="D101" s="71">
        <v>25586.9457776163</v>
      </c>
      <c r="E101" s="71">
        <f>SUM(B101:D101)</f>
        <v>1019414.9457776163</v>
      </c>
      <c r="F101" s="142" t="s">
        <v>403</v>
      </c>
      <c r="G101" s="71">
        <v>192044.2650875175</v>
      </c>
      <c r="H101" s="142" t="s">
        <v>403</v>
      </c>
      <c r="I101" s="71">
        <f>E101-J101</f>
        <v>614369.94577761635</v>
      </c>
      <c r="J101" s="71">
        <f>'tab01'!D77</f>
        <v>405045</v>
      </c>
    </row>
    <row r="102" spans="1:10">
      <c r="A102" t="s">
        <v>445</v>
      </c>
      <c r="B102" s="71">
        <f>J101</f>
        <v>405045</v>
      </c>
      <c r="C102" s="142" t="s">
        <v>443</v>
      </c>
      <c r="D102" s="71">
        <v>30286.1634153267</v>
      </c>
      <c r="E102" s="71">
        <f>SUM(B102:D102)</f>
        <v>435331.16341532668</v>
      </c>
      <c r="F102" s="142" t="s">
        <v>403</v>
      </c>
      <c r="G102" s="71">
        <v>57779.840463681008</v>
      </c>
      <c r="H102" s="142" t="s">
        <v>403</v>
      </c>
      <c r="I102" s="71">
        <f>E102-J102</f>
        <v>343340.16341532668</v>
      </c>
      <c r="J102" s="71">
        <f>'tab01'!D78</f>
        <v>91991</v>
      </c>
    </row>
    <row r="103" spans="1:10">
      <c r="A103" t="s">
        <v>354</v>
      </c>
      <c r="B103" s="71"/>
      <c r="C103" s="71">
        <f>SUM(C99:C102)</f>
        <v>3357004</v>
      </c>
      <c r="D103" s="71">
        <f>SUM(D99:D102)</f>
        <v>71777.046168786008</v>
      </c>
      <c r="E103" s="71">
        <f>B99+D103+C103</f>
        <v>3569338.046168786</v>
      </c>
      <c r="F103" s="71">
        <v>1733888</v>
      </c>
      <c r="G103" s="71">
        <f>SUM(G99:G102)</f>
        <v>1638558.9397691786</v>
      </c>
      <c r="H103" s="71">
        <f>I103-F103-G103</f>
        <v>104900.10639960784</v>
      </c>
      <c r="I103" s="71">
        <f>SUM(I99:I102)</f>
        <v>3477347.0461687865</v>
      </c>
      <c r="J103" s="71"/>
    </row>
    <row r="104" spans="1:10"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1:10">
      <c r="A105" t="s">
        <v>492</v>
      </c>
      <c r="B105" s="71"/>
      <c r="C105" s="71"/>
      <c r="D105" s="71"/>
      <c r="E105" s="71"/>
      <c r="F105" s="142"/>
      <c r="G105" s="71"/>
      <c r="H105" s="142"/>
      <c r="I105" s="71"/>
      <c r="J105" s="71"/>
    </row>
    <row r="106" spans="1:10">
      <c r="A106" t="s">
        <v>441</v>
      </c>
      <c r="B106" s="71">
        <f>J102</f>
        <v>91991</v>
      </c>
      <c r="C106" s="71">
        <f>'tab02'!E60</f>
        <v>3928070</v>
      </c>
      <c r="D106" s="71">
        <v>7626.5134432809</v>
      </c>
      <c r="E106" s="71">
        <f>SUM(B106:D106)</f>
        <v>4027687.5134432809</v>
      </c>
      <c r="F106" s="142" t="s">
        <v>403</v>
      </c>
      <c r="G106" s="71">
        <v>812568.94971034233</v>
      </c>
      <c r="H106" s="142" t="s">
        <v>403</v>
      </c>
      <c r="I106" s="71">
        <f>E106-J106</f>
        <v>1499943.5134432809</v>
      </c>
      <c r="J106" s="71">
        <f>'tab01'!D80</f>
        <v>2527744</v>
      </c>
    </row>
    <row r="107" spans="1:10">
      <c r="A107" t="s">
        <v>442</v>
      </c>
      <c r="B107" s="71">
        <f>J106</f>
        <v>2527744</v>
      </c>
      <c r="C107" s="142" t="s">
        <v>443</v>
      </c>
      <c r="D107" s="71">
        <v>8698.9358684151011</v>
      </c>
      <c r="E107" s="71">
        <f>SUM(B107:D107)</f>
        <v>2536442.9358684151</v>
      </c>
      <c r="F107" s="142" t="s">
        <v>403</v>
      </c>
      <c r="G107" s="71">
        <v>725406.55222957116</v>
      </c>
      <c r="H107" s="142" t="s">
        <v>403</v>
      </c>
      <c r="I107" s="71">
        <f>E107-J107</f>
        <v>1209843.9358684151</v>
      </c>
      <c r="J107" s="71">
        <f>'tab01'!D81</f>
        <v>1326599</v>
      </c>
    </row>
    <row r="108" spans="1:10">
      <c r="A108" t="s">
        <v>444</v>
      </c>
      <c r="B108" s="71">
        <f>J107</f>
        <v>1326599</v>
      </c>
      <c r="C108" s="142" t="s">
        <v>443</v>
      </c>
      <c r="D108" s="71">
        <v>8256.0711071055011</v>
      </c>
      <c r="E108" s="71">
        <f>SUM(B108:D108)</f>
        <v>1334855.0711071056</v>
      </c>
      <c r="F108" s="142" t="s">
        <v>403</v>
      </c>
      <c r="G108" s="71">
        <v>187766.04864404941</v>
      </c>
      <c r="H108" s="142" t="s">
        <v>403</v>
      </c>
      <c r="I108" s="71">
        <f>E108-J108</f>
        <v>707787.07110710558</v>
      </c>
      <c r="J108" s="71">
        <f>'tab01'!D82</f>
        <v>627068</v>
      </c>
    </row>
    <row r="109" spans="1:10">
      <c r="A109" t="s">
        <v>445</v>
      </c>
      <c r="B109" s="71">
        <f>J108</f>
        <v>627068</v>
      </c>
      <c r="C109" s="142" t="s">
        <v>443</v>
      </c>
      <c r="D109" s="71">
        <v>8663.3411806578006</v>
      </c>
      <c r="E109" s="71">
        <f>SUM(B109:D109)</f>
        <v>635731.34118065785</v>
      </c>
      <c r="F109" s="71">
        <v>451978.8</v>
      </c>
      <c r="G109" s="71">
        <v>116681.142008928</v>
      </c>
      <c r="H109" s="71">
        <f>I109-F109-G109</f>
        <v>-123538.60082827014</v>
      </c>
      <c r="I109" s="71">
        <f>E109-J109</f>
        <v>445121.34118065785</v>
      </c>
      <c r="J109" s="71">
        <f>'tab01'!D83</f>
        <v>190610</v>
      </c>
    </row>
    <row r="110" spans="1:10">
      <c r="A110" t="s">
        <v>354</v>
      </c>
      <c r="B110" s="71"/>
      <c r="C110" s="71">
        <f>SUM(C106:C109)</f>
        <v>3928070</v>
      </c>
      <c r="D110" s="71">
        <f>SUM(D106:D109)</f>
        <v>33244.861599459298</v>
      </c>
      <c r="E110" s="71">
        <f>B106+D110+C110</f>
        <v>4053305.8615994593</v>
      </c>
      <c r="F110" s="71">
        <v>1873493.7851587886</v>
      </c>
      <c r="G110" s="71">
        <f>SUM(G106:G109)</f>
        <v>1842422.6925928909</v>
      </c>
      <c r="H110" s="71">
        <f>I110-F110-G110</f>
        <v>146779.38384777983</v>
      </c>
      <c r="I110" s="71">
        <f>SUM(I106:I109)</f>
        <v>3862695.8615994593</v>
      </c>
      <c r="J110" s="71"/>
    </row>
    <row r="111" spans="1:10">
      <c r="B111" s="71"/>
      <c r="C111" s="71"/>
      <c r="D111" s="71"/>
      <c r="E111" s="71"/>
      <c r="F111" s="71"/>
      <c r="G111" s="71"/>
      <c r="H111" s="71"/>
      <c r="I111" s="71"/>
      <c r="J111" s="71"/>
    </row>
    <row r="112" spans="1:10">
      <c r="A112" t="s">
        <v>495</v>
      </c>
      <c r="B112" s="71"/>
      <c r="C112" s="71"/>
      <c r="D112" s="71"/>
      <c r="E112" s="71"/>
      <c r="F112" s="71"/>
      <c r="G112" s="71"/>
      <c r="H112" s="71"/>
      <c r="I112" s="71"/>
      <c r="J112" s="71"/>
    </row>
    <row r="113" spans="1:10">
      <c r="A113" t="s">
        <v>186</v>
      </c>
      <c r="B113" s="71"/>
      <c r="C113" s="71"/>
      <c r="D113" s="71">
        <v>2448.1465302798001</v>
      </c>
      <c r="E113" s="71"/>
      <c r="F113" s="71">
        <f>4036.896*2000/60</f>
        <v>134563.20000000001</v>
      </c>
      <c r="G113" s="71">
        <v>86331.881099419203</v>
      </c>
      <c r="H113" s="71"/>
      <c r="I113" s="71"/>
      <c r="J113" s="71"/>
    </row>
    <row r="114" spans="1:10">
      <c r="A114" t="s">
        <v>187</v>
      </c>
      <c r="B114" s="71"/>
      <c r="C114" s="71"/>
      <c r="D114" s="71">
        <v>2214.0286076621996</v>
      </c>
      <c r="E114" s="71"/>
      <c r="F114" s="71">
        <f>5104.01*2000/60</f>
        <v>170133.66666666666</v>
      </c>
      <c r="G114" s="71">
        <v>368108.32668944256</v>
      </c>
      <c r="H114" s="71"/>
      <c r="I114" s="71"/>
      <c r="J114" s="71"/>
    </row>
    <row r="115" spans="1:10">
      <c r="A115" t="s">
        <v>188</v>
      </c>
      <c r="B115" s="71"/>
      <c r="C115" s="71"/>
      <c r="D115" s="71">
        <v>1842.7726512027002</v>
      </c>
      <c r="E115" s="71"/>
      <c r="F115" s="71">
        <f>4973.534*2000/60</f>
        <v>165784.46666666667</v>
      </c>
      <c r="G115" s="71">
        <v>336912.87593242229</v>
      </c>
      <c r="H115" s="71"/>
      <c r="I115" s="71"/>
      <c r="J115" s="71"/>
    </row>
    <row r="116" spans="1:10">
      <c r="A116" t="s">
        <v>441</v>
      </c>
      <c r="B116" s="71">
        <f>J109</f>
        <v>190610</v>
      </c>
      <c r="C116" s="71">
        <f>'tab02'!E61</f>
        <v>3926779</v>
      </c>
      <c r="D116" s="71">
        <f>D113+D114+D115</f>
        <v>6504.9477891447004</v>
      </c>
      <c r="E116" s="71">
        <f>SUM(B116:D116)</f>
        <v>4123893.9477891447</v>
      </c>
      <c r="F116" s="71">
        <f>F113+F114+F115</f>
        <v>470481.33333333337</v>
      </c>
      <c r="G116" s="71">
        <f>G113+G114+G115</f>
        <v>791353.08372128406</v>
      </c>
      <c r="H116" s="71">
        <f>I116-F116-G116</f>
        <v>147982.53073452727</v>
      </c>
      <c r="I116" s="71">
        <f>E116-J116</f>
        <v>1409816.9477891447</v>
      </c>
      <c r="J116" s="71">
        <f>'tab01'!D85</f>
        <v>2714077</v>
      </c>
    </row>
    <row r="117" spans="1:10">
      <c r="A117" t="s">
        <v>189</v>
      </c>
      <c r="B117" s="71"/>
      <c r="C117" s="71"/>
      <c r="D117" s="71">
        <v>2144.566994409</v>
      </c>
      <c r="E117" s="71"/>
      <c r="F117" s="71">
        <f>5011.324*2000/60</f>
        <v>167044.13333333333</v>
      </c>
      <c r="G117" s="71">
        <v>249794.17784429222</v>
      </c>
      <c r="H117" s="71"/>
      <c r="I117" s="71"/>
      <c r="J117" s="71"/>
    </row>
    <row r="118" spans="1:10">
      <c r="A118" t="s">
        <v>190</v>
      </c>
      <c r="B118" s="71"/>
      <c r="C118" s="71"/>
      <c r="D118" s="71">
        <v>2859.6502864335002</v>
      </c>
      <c r="E118" s="71"/>
      <c r="F118" s="71">
        <f>4814.044*2000/60</f>
        <v>160468.13333333333</v>
      </c>
      <c r="G118" s="71">
        <v>223610.14749283143</v>
      </c>
      <c r="H118" s="71"/>
      <c r="I118" s="71"/>
      <c r="J118" s="71"/>
    </row>
    <row r="119" spans="1:10">
      <c r="A119" t="s">
        <v>191</v>
      </c>
      <c r="B119" s="71"/>
      <c r="C119" s="71"/>
      <c r="D119" s="71">
        <v>1242.3071425464</v>
      </c>
      <c r="E119" s="71"/>
      <c r="F119" s="71">
        <f>4638.663*2000/60</f>
        <v>154622.1</v>
      </c>
      <c r="G119" s="71">
        <v>208885.59333841081</v>
      </c>
      <c r="H119" s="71"/>
      <c r="I119" s="71"/>
      <c r="J119" s="71"/>
    </row>
    <row r="120" spans="1:10">
      <c r="A120" t="s">
        <v>442</v>
      </c>
      <c r="B120" s="71">
        <f>J116</f>
        <v>2714077</v>
      </c>
      <c r="C120" s="142" t="s">
        <v>443</v>
      </c>
      <c r="D120" s="71">
        <f>D117+D118+D119</f>
        <v>6246.5244233889007</v>
      </c>
      <c r="E120" s="71">
        <f>SUM(B120:D120)</f>
        <v>2720323.5244233888</v>
      </c>
      <c r="F120" s="71">
        <f>F117+F118+F119</f>
        <v>482134.3666666667</v>
      </c>
      <c r="G120" s="71">
        <f>G117+G118+G119</f>
        <v>682289.91867553443</v>
      </c>
      <c r="H120" s="71">
        <f>I120-F120-G120</f>
        <v>24993.239081187639</v>
      </c>
      <c r="I120" s="71">
        <f>E120-J120</f>
        <v>1189417.5244233888</v>
      </c>
      <c r="J120" s="71">
        <f>'tab01'!D86</f>
        <v>1530906</v>
      </c>
    </row>
    <row r="121" spans="1:10">
      <c r="A121" t="s">
        <v>192</v>
      </c>
      <c r="B121" s="71"/>
      <c r="C121" s="71"/>
      <c r="D121" s="71">
        <v>2495.6786215242005</v>
      </c>
      <c r="E121" s="71"/>
      <c r="F121" s="71">
        <f>4991.626*2000/60</f>
        <v>166387.53333333333</v>
      </c>
      <c r="G121" s="71">
        <v>97067.288810268015</v>
      </c>
      <c r="H121" s="71"/>
      <c r="I121" s="71"/>
      <c r="J121" s="71"/>
    </row>
    <row r="122" spans="1:10">
      <c r="A122" t="s">
        <v>193</v>
      </c>
      <c r="B122" s="71"/>
      <c r="C122" s="71"/>
      <c r="D122" s="71">
        <v>1828.4996711688002</v>
      </c>
      <c r="E122" s="71"/>
      <c r="F122" s="71">
        <f>4745.09*2000/60</f>
        <v>158169.66666666666</v>
      </c>
      <c r="G122" s="71">
        <v>49977.149319720003</v>
      </c>
      <c r="H122" s="71"/>
      <c r="I122" s="71"/>
      <c r="J122" s="71"/>
    </row>
    <row r="123" spans="1:10">
      <c r="A123" t="s">
        <v>196</v>
      </c>
      <c r="B123" s="71"/>
      <c r="C123" s="71"/>
      <c r="D123" s="71">
        <v>829.71040829250012</v>
      </c>
      <c r="E123" s="71"/>
      <c r="F123" s="71">
        <f>4825.833*2000/60</f>
        <v>160861.1</v>
      </c>
      <c r="G123" s="71">
        <v>32603.907766848606</v>
      </c>
      <c r="H123" s="71"/>
      <c r="I123" s="71"/>
      <c r="J123" s="71"/>
    </row>
    <row r="124" spans="1:10">
      <c r="A124" t="s">
        <v>444</v>
      </c>
      <c r="B124" s="71">
        <f>J120</f>
        <v>1530906</v>
      </c>
      <c r="C124" s="142" t="s">
        <v>443</v>
      </c>
      <c r="D124" s="71">
        <f>D121+D122+D123</f>
        <v>5153.8887009855007</v>
      </c>
      <c r="E124" s="71">
        <f>SUM(B124:D124)</f>
        <v>1536059.8887009856</v>
      </c>
      <c r="F124" s="71">
        <f>F121+F122+F123</f>
        <v>485418.29999999993</v>
      </c>
      <c r="G124" s="71">
        <f>G121+G122+G123</f>
        <v>179648.34589683663</v>
      </c>
      <c r="H124" s="71">
        <f>I124-F124-G124</f>
        <v>-787.75719585097977</v>
      </c>
      <c r="I124" s="71">
        <f>E124-J124</f>
        <v>664278.88870098558</v>
      </c>
      <c r="J124" s="71">
        <f>'tab01'!D87</f>
        <v>871781</v>
      </c>
    </row>
    <row r="125" spans="1:10">
      <c r="A125" t="s">
        <v>149</v>
      </c>
      <c r="B125" s="71"/>
      <c r="C125" s="71"/>
      <c r="D125" s="71">
        <v>2389.5244555014001</v>
      </c>
      <c r="E125" s="71"/>
      <c r="F125" s="71">
        <f>4623.752*2000/60</f>
        <v>154125.06666666668</v>
      </c>
      <c r="G125" s="71">
        <v>38656.994981587501</v>
      </c>
      <c r="H125" s="71"/>
      <c r="I125" s="71"/>
      <c r="J125" s="71"/>
    </row>
    <row r="126" spans="1:10">
      <c r="A126" t="s">
        <v>499</v>
      </c>
      <c r="B126" s="71"/>
      <c r="C126" s="71"/>
      <c r="D126" s="71">
        <v>1433.572357602</v>
      </c>
      <c r="E126" s="71"/>
      <c r="F126" s="71">
        <f>4603.543*2000/60</f>
        <v>153451.43333333332</v>
      </c>
      <c r="G126" s="71">
        <v>97796.743812648303</v>
      </c>
      <c r="H126" s="71"/>
      <c r="I126" s="71"/>
      <c r="J126" s="71"/>
    </row>
    <row r="127" spans="1:10">
      <c r="A127" t="s">
        <v>346</v>
      </c>
      <c r="B127" s="71"/>
      <c r="C127" s="71"/>
      <c r="D127" s="71">
        <v>1812.4517867063998</v>
      </c>
      <c r="E127" s="71"/>
      <c r="F127" s="71">
        <f>4218.789*2000/60</f>
        <v>140626.29999999999</v>
      </c>
      <c r="G127" s="71">
        <v>152893.55709770729</v>
      </c>
      <c r="H127" s="71"/>
      <c r="I127" s="71"/>
      <c r="J127" s="71"/>
    </row>
    <row r="128" spans="1:10">
      <c r="A128" t="s">
        <v>445</v>
      </c>
      <c r="B128" s="71">
        <f>J124</f>
        <v>871781</v>
      </c>
      <c r="C128" s="142" t="s">
        <v>443</v>
      </c>
      <c r="D128" s="71">
        <f>D125+D126+D127</f>
        <v>5635.5485998098002</v>
      </c>
      <c r="E128" s="71">
        <f>SUM(B128:D128)</f>
        <v>877416.54859980976</v>
      </c>
      <c r="F128" s="71">
        <f>F125+F126+F127</f>
        <v>448202.8</v>
      </c>
      <c r="G128" s="71">
        <f>G125+G126+G127</f>
        <v>289347.2958919431</v>
      </c>
      <c r="H128" s="71">
        <f>I128-F128-G128</f>
        <v>-56862.547292133328</v>
      </c>
      <c r="I128" s="71">
        <f>E128-J128</f>
        <v>680687.54859980976</v>
      </c>
      <c r="J128" s="71">
        <f>'tab01'!D88</f>
        <v>196729</v>
      </c>
    </row>
    <row r="129" spans="1:10">
      <c r="A129" t="s">
        <v>354</v>
      </c>
      <c r="B129" s="71"/>
      <c r="C129" s="71">
        <f>SUM(C116:C128)</f>
        <v>3926779</v>
      </c>
      <c r="D129" s="71">
        <f>D116+D120+D124+D128</f>
        <v>23540.909513328901</v>
      </c>
      <c r="E129" s="71">
        <f>B116+D129+C129</f>
        <v>4140929.9095133287</v>
      </c>
      <c r="F129" s="71">
        <f>F116+F120+F124+F128</f>
        <v>1886236.8</v>
      </c>
      <c r="G129" s="71">
        <f>G116+G120+G124+G128</f>
        <v>1942638.6441855982</v>
      </c>
      <c r="H129" s="71">
        <f>H116+H120+H124+H128</f>
        <v>115325.46532773061</v>
      </c>
      <c r="I129" s="71">
        <f>I116+I120+I124+I128</f>
        <v>3944200.9095133287</v>
      </c>
      <c r="J129" s="71"/>
    </row>
    <row r="130" spans="1:10">
      <c r="B130" s="71"/>
      <c r="C130" s="71"/>
      <c r="D130" s="71"/>
      <c r="E130" s="71"/>
      <c r="F130" s="71"/>
      <c r="G130" s="71"/>
      <c r="H130" s="71"/>
      <c r="I130" s="71"/>
      <c r="J130" s="71"/>
    </row>
    <row r="131" spans="1:10">
      <c r="A131" t="s">
        <v>498</v>
      </c>
      <c r="B131" s="71"/>
      <c r="C131" s="71"/>
      <c r="D131" s="71"/>
      <c r="E131" s="71"/>
      <c r="F131" s="71"/>
      <c r="G131" s="71"/>
      <c r="H131" s="71"/>
      <c r="I131" s="71"/>
      <c r="J131" s="71"/>
    </row>
    <row r="132" spans="1:10">
      <c r="A132" t="s">
        <v>186</v>
      </c>
      <c r="B132" s="71"/>
      <c r="C132" s="71"/>
      <c r="D132" s="71">
        <v>2308.2878459151002</v>
      </c>
      <c r="E132" s="71"/>
      <c r="F132" s="71">
        <f>4148.008*2000/60</f>
        <v>138266.93333333332</v>
      </c>
      <c r="G132" s="71">
        <v>137740.79138581859</v>
      </c>
      <c r="H132" s="71"/>
      <c r="I132" s="71"/>
      <c r="J132" s="71"/>
    </row>
    <row r="133" spans="1:10">
      <c r="A133" t="s">
        <v>187</v>
      </c>
      <c r="B133" s="71"/>
      <c r="C133" s="71"/>
      <c r="D133" s="71">
        <v>1773.0930008337002</v>
      </c>
      <c r="E133" s="71"/>
      <c r="F133" s="71">
        <f>5276.415*2000/60</f>
        <v>175880.5</v>
      </c>
      <c r="G133" s="71">
        <v>410399.20805026923</v>
      </c>
      <c r="H133" s="71"/>
      <c r="I133" s="71"/>
      <c r="J133" s="71"/>
    </row>
    <row r="134" spans="1:10">
      <c r="A134" t="s">
        <v>188</v>
      </c>
      <c r="B134" s="71"/>
      <c r="C134" s="71"/>
      <c r="D134" s="71">
        <v>1382.3862523674002</v>
      </c>
      <c r="E134" s="71"/>
      <c r="F134" s="71">
        <f>5122.038*2000/60</f>
        <v>170734.6</v>
      </c>
      <c r="G134" s="71">
        <v>380766.73181306972</v>
      </c>
      <c r="H134" s="71"/>
      <c r="I134" s="71"/>
      <c r="J134" s="71"/>
    </row>
    <row r="135" spans="1:10">
      <c r="A135" t="s">
        <v>441</v>
      </c>
      <c r="B135" s="71">
        <f>J128</f>
        <v>196729</v>
      </c>
      <c r="C135" s="227">
        <f>'tab02'!E62</f>
        <v>4296496</v>
      </c>
      <c r="D135" s="71">
        <f>D132+D133+D134</f>
        <v>5463.7670991162013</v>
      </c>
      <c r="E135" s="71">
        <f>SUM(B135:D135)</f>
        <v>4498688.767099116</v>
      </c>
      <c r="F135" s="71">
        <f>F132+F133+F134</f>
        <v>484882.03333333333</v>
      </c>
      <c r="G135" s="71">
        <f>G132+G133+G134</f>
        <v>928906.73124915757</v>
      </c>
      <c r="H135" s="71">
        <f>I135-F135-G135</f>
        <v>185844.00251662522</v>
      </c>
      <c r="I135" s="71">
        <f>E135-J135</f>
        <v>1599632.767099116</v>
      </c>
      <c r="J135" s="71">
        <f>'tab01'!D90</f>
        <v>2899056</v>
      </c>
    </row>
    <row r="136" spans="1:10">
      <c r="A136" t="s">
        <v>189</v>
      </c>
      <c r="B136" s="71"/>
      <c r="C136" s="71"/>
      <c r="D136" s="71">
        <v>1171.241446326</v>
      </c>
      <c r="E136" s="71"/>
      <c r="F136" s="71">
        <f>5071.493*2000/60</f>
        <v>169049.76666666666</v>
      </c>
      <c r="G136" s="71">
        <v>293211.86903035018</v>
      </c>
      <c r="H136" s="71"/>
      <c r="I136" s="71"/>
      <c r="J136" s="71"/>
    </row>
    <row r="137" spans="1:10">
      <c r="A137" t="s">
        <v>190</v>
      </c>
      <c r="B137" s="71"/>
      <c r="C137" s="71"/>
      <c r="D137" s="71">
        <v>3212.9771544780001</v>
      </c>
      <c r="E137" s="71"/>
      <c r="F137" s="71">
        <f>5139.706*2000/60</f>
        <v>171323.53333333333</v>
      </c>
      <c r="G137" s="71">
        <v>257791.51326419189</v>
      </c>
      <c r="H137" s="71"/>
      <c r="I137" s="71"/>
      <c r="J137" s="71"/>
    </row>
    <row r="138" spans="1:10">
      <c r="A138" t="s">
        <v>191</v>
      </c>
      <c r="B138" s="71"/>
      <c r="C138" s="71"/>
      <c r="D138" s="71">
        <v>2258.4492056469003</v>
      </c>
      <c r="E138" s="71"/>
      <c r="F138" s="71">
        <f>4542.336*2000/60</f>
        <v>151411.20000000001</v>
      </c>
      <c r="G138" s="71">
        <v>163859.37643089841</v>
      </c>
      <c r="H138" s="71"/>
      <c r="I138" s="71"/>
      <c r="J138" s="71"/>
    </row>
    <row r="139" spans="1:10">
      <c r="A139" t="s">
        <v>442</v>
      </c>
      <c r="B139" s="71">
        <f>J135</f>
        <v>2899056</v>
      </c>
      <c r="C139" s="142" t="s">
        <v>443</v>
      </c>
      <c r="D139" s="71">
        <f>D136+D137+D138</f>
        <v>6642.6678064508997</v>
      </c>
      <c r="E139" s="71">
        <f>SUM(B139:D139)</f>
        <v>2905698.6678064507</v>
      </c>
      <c r="F139" s="71">
        <f>F136+F137+F138</f>
        <v>491784.5</v>
      </c>
      <c r="G139" s="71">
        <f>G136+G137+G138</f>
        <v>714862.75872544048</v>
      </c>
      <c r="H139" s="71">
        <f>I139-F139-G139</f>
        <v>-39881.590918989736</v>
      </c>
      <c r="I139" s="71">
        <f>E139-J139</f>
        <v>1166765.6678064507</v>
      </c>
      <c r="J139" s="71">
        <f>'tab01'!D91</f>
        <v>1738933</v>
      </c>
    </row>
    <row r="140" spans="1:10">
      <c r="A140" t="s">
        <v>192</v>
      </c>
      <c r="B140" s="71"/>
      <c r="C140" s="71"/>
      <c r="D140" s="227">
        <v>2220.4930737780001</v>
      </c>
      <c r="E140" s="227"/>
      <c r="F140" s="71">
        <f>4822.961*2000/60</f>
        <v>160765.36666666667</v>
      </c>
      <c r="G140" s="227">
        <v>118298.73512020621</v>
      </c>
      <c r="H140" s="71"/>
      <c r="I140" s="71"/>
      <c r="J140" s="71"/>
    </row>
    <row r="141" spans="1:10">
      <c r="A141" t="s">
        <v>193</v>
      </c>
      <c r="B141" s="71"/>
      <c r="C141" s="71"/>
      <c r="D141" s="227">
        <v>1603.8489098309999</v>
      </c>
      <c r="E141" s="227"/>
      <c r="F141" s="71">
        <f>4509.463*2000/60</f>
        <v>150315.43333333332</v>
      </c>
      <c r="G141" s="227">
        <v>90342.257722157708</v>
      </c>
      <c r="H141" s="71"/>
      <c r="I141" s="71"/>
      <c r="J141" s="71"/>
    </row>
    <row r="142" spans="1:10">
      <c r="A142" t="s">
        <v>196</v>
      </c>
      <c r="B142" s="71"/>
      <c r="C142" s="71"/>
      <c r="D142" s="227">
        <v>2125.1002556364006</v>
      </c>
      <c r="E142" s="227"/>
      <c r="F142" s="71">
        <f>4739.387*2000/60</f>
        <v>157979.56666666668</v>
      </c>
      <c r="G142" s="227">
        <v>53312.514447805203</v>
      </c>
      <c r="H142" s="71"/>
      <c r="I142" s="71"/>
      <c r="J142" s="71"/>
    </row>
    <row r="143" spans="1:10">
      <c r="A143" t="s">
        <v>444</v>
      </c>
      <c r="B143" s="71">
        <f>J139</f>
        <v>1738933</v>
      </c>
      <c r="C143" s="142" t="s">
        <v>443</v>
      </c>
      <c r="D143" s="71">
        <f>D140+D141+D142</f>
        <v>5949.4422392453998</v>
      </c>
      <c r="E143" s="71">
        <f>SUM(B143:D143)</f>
        <v>1744882.4422392454</v>
      </c>
      <c r="F143" s="71">
        <f>F140+F141+F142</f>
        <v>469060.3666666667</v>
      </c>
      <c r="G143" s="71">
        <f>G140+G141+G142</f>
        <v>261953.50729016913</v>
      </c>
      <c r="H143" s="71">
        <f>I143-F143-G143</f>
        <v>48012.568282409571</v>
      </c>
      <c r="I143" s="71">
        <f>E143-J143</f>
        <v>779026.4422392454</v>
      </c>
      <c r="J143" s="71">
        <f>'tab01'!D92</f>
        <v>965856</v>
      </c>
    </row>
    <row r="144" spans="1:10">
      <c r="A144" t="s">
        <v>149</v>
      </c>
      <c r="B144" s="71"/>
      <c r="C144" s="71"/>
      <c r="D144" s="227">
        <v>1053.7651133289</v>
      </c>
      <c r="E144" s="227"/>
      <c r="F144" s="71">
        <f>4446.863*2000/60</f>
        <v>148228.76666666666</v>
      </c>
      <c r="G144" s="227">
        <v>65633.727560188199</v>
      </c>
      <c r="H144" s="71"/>
      <c r="I144" s="71"/>
      <c r="J144" s="71"/>
    </row>
    <row r="145" spans="1:10">
      <c r="A145" t="s">
        <v>499</v>
      </c>
      <c r="B145" s="71"/>
      <c r="C145" s="71"/>
      <c r="D145" s="227">
        <v>1718.3292350175002</v>
      </c>
      <c r="E145" s="227"/>
      <c r="F145" s="71">
        <f>4668.68*2000/60</f>
        <v>155622.66666666666</v>
      </c>
      <c r="G145" s="227">
        <v>85190.735425683291</v>
      </c>
      <c r="H145" s="71"/>
      <c r="I145" s="71"/>
      <c r="J145" s="71"/>
    </row>
    <row r="146" spans="1:10">
      <c r="A146" t="s">
        <v>346</v>
      </c>
      <c r="B146" s="71"/>
      <c r="C146" s="71"/>
      <c r="D146" s="227">
        <v>1452.9044307141</v>
      </c>
      <c r="E146" s="227"/>
      <c r="F146" s="71">
        <f>4548.592*2000/60</f>
        <v>151619.73333333334</v>
      </c>
      <c r="G146" s="227">
        <v>109869.52615546531</v>
      </c>
      <c r="H146" s="71"/>
      <c r="I146" s="71"/>
      <c r="J146" s="71"/>
    </row>
    <row r="147" spans="1:10">
      <c r="A147" t="s">
        <v>445</v>
      </c>
      <c r="B147" s="71">
        <f>J143</f>
        <v>965856</v>
      </c>
      <c r="C147" s="142" t="s">
        <v>443</v>
      </c>
      <c r="D147" s="71">
        <f>D144+D145+D146</f>
        <v>4224.9987790605001</v>
      </c>
      <c r="E147" s="71">
        <f>SUM(B147:D147)</f>
        <v>970080.99877906055</v>
      </c>
      <c r="F147" s="71">
        <f>F144+F145+F146</f>
        <v>455471.16666666669</v>
      </c>
      <c r="G147" s="71">
        <f>G144+G145+G146</f>
        <v>260693.98914133679</v>
      </c>
      <c r="H147" s="71">
        <f>I147-F147-G147</f>
        <v>-47679.157028942922</v>
      </c>
      <c r="I147" s="71">
        <f>E147-J147</f>
        <v>668485.99877906055</v>
      </c>
      <c r="J147" s="71">
        <f>'tab01'!D93</f>
        <v>301595</v>
      </c>
    </row>
    <row r="148" spans="1:10">
      <c r="A148" t="s">
        <v>354</v>
      </c>
      <c r="B148" s="71"/>
      <c r="C148" s="71">
        <f>SUM(C135:C147)</f>
        <v>4296496</v>
      </c>
      <c r="D148" s="71">
        <f>D135+D139+D143+D147</f>
        <v>22280.875923873002</v>
      </c>
      <c r="E148" s="71">
        <f>B135+D148+C148</f>
        <v>4515505.8759238729</v>
      </c>
      <c r="F148" s="71">
        <f>F135+F139+F143+F147</f>
        <v>1901198.0666666667</v>
      </c>
      <c r="G148" s="71">
        <f>G135+G139+G143+G147</f>
        <v>2166416.9864061037</v>
      </c>
      <c r="H148" s="71">
        <f>H135+H139+H143+H147</f>
        <v>146295.82285110213</v>
      </c>
      <c r="I148" s="71">
        <f>I135+I139+I143+I147</f>
        <v>4213910.8759238729</v>
      </c>
      <c r="J148" s="71"/>
    </row>
    <row r="149" spans="1:10">
      <c r="B149" s="71"/>
      <c r="C149" s="71"/>
      <c r="D149" s="71"/>
      <c r="E149" s="71"/>
      <c r="F149" s="71"/>
      <c r="G149" s="71"/>
      <c r="H149" s="71"/>
      <c r="I149" s="71"/>
      <c r="J149" s="71"/>
    </row>
    <row r="150" spans="1:10">
      <c r="A150" t="s">
        <v>569</v>
      </c>
      <c r="B150" s="71"/>
      <c r="C150" s="71"/>
      <c r="D150" s="71"/>
      <c r="E150" s="71"/>
      <c r="F150" s="71"/>
      <c r="G150" s="71"/>
      <c r="H150" s="71"/>
      <c r="I150" s="71"/>
      <c r="J150" s="71"/>
    </row>
    <row r="151" spans="1:10">
      <c r="A151" t="s">
        <v>186</v>
      </c>
      <c r="B151" s="71"/>
      <c r="C151" s="71"/>
      <c r="D151" s="227">
        <v>1351.7034256824002</v>
      </c>
      <c r="E151" s="71"/>
      <c r="F151" s="227">
        <v>145373.56666666668</v>
      </c>
      <c r="G151" s="227">
        <v>164076.9111133446</v>
      </c>
      <c r="H151" s="71"/>
      <c r="I151" s="71"/>
      <c r="J151" s="71"/>
    </row>
    <row r="152" spans="1:10">
      <c r="A152" t="s">
        <v>187</v>
      </c>
      <c r="B152" s="71"/>
      <c r="C152" s="71"/>
      <c r="D152" s="227">
        <v>2841.7166785434001</v>
      </c>
      <c r="E152" s="71"/>
      <c r="F152" s="227">
        <v>175913.23333333334</v>
      </c>
      <c r="G152" s="227">
        <v>354410.58945133374</v>
      </c>
      <c r="H152" s="71"/>
      <c r="I152" s="71"/>
      <c r="J152" s="71"/>
    </row>
    <row r="153" spans="1:10">
      <c r="A153" t="s">
        <v>188</v>
      </c>
      <c r="B153" s="71"/>
      <c r="C153" s="71"/>
      <c r="D153" s="227">
        <v>1428.3813913844999</v>
      </c>
      <c r="E153" s="71"/>
      <c r="F153" s="227">
        <v>173348.73333333334</v>
      </c>
      <c r="G153" s="227">
        <v>337644.10620666813</v>
      </c>
      <c r="H153" s="71"/>
      <c r="I153" s="71"/>
      <c r="J153" s="71"/>
    </row>
    <row r="154" spans="1:10">
      <c r="A154" t="s">
        <v>441</v>
      </c>
      <c r="B154" s="71">
        <f>J147</f>
        <v>301595</v>
      </c>
      <c r="C154" s="227">
        <f>'tab02'!E63</f>
        <v>4411633</v>
      </c>
      <c r="D154" s="71">
        <f>D151+D152+D153</f>
        <v>5621.8014956102998</v>
      </c>
      <c r="E154" s="71">
        <f>SUM(B154:D154)</f>
        <v>4718849.8014956107</v>
      </c>
      <c r="F154" s="71">
        <f>F151+F152+F153</f>
        <v>494635.53333333338</v>
      </c>
      <c r="G154" s="71">
        <f>G151+G152+G153</f>
        <v>856131.60677134641</v>
      </c>
      <c r="H154" s="71">
        <f>I154-F154-G154</f>
        <v>207403.66139093088</v>
      </c>
      <c r="I154" s="71">
        <f>E154-J154</f>
        <v>1558170.8014956107</v>
      </c>
      <c r="J154" s="71">
        <f>'tab01'!D95</f>
        <v>3160679</v>
      </c>
    </row>
    <row r="155" spans="1:10">
      <c r="A155" t="s">
        <v>189</v>
      </c>
      <c r="B155" s="71"/>
      <c r="C155" s="227"/>
      <c r="D155" s="227">
        <v>2330.214906096</v>
      </c>
      <c r="E155" s="71"/>
      <c r="F155" s="227">
        <v>176340.5</v>
      </c>
      <c r="G155" s="227">
        <v>228628.15879957832</v>
      </c>
      <c r="H155" s="71"/>
      <c r="I155" s="71"/>
      <c r="J155" s="71"/>
    </row>
    <row r="156" spans="1:10">
      <c r="A156" t="s">
        <v>190</v>
      </c>
      <c r="B156" s="71"/>
      <c r="C156" s="227"/>
      <c r="D156" s="227">
        <v>1462.6674522663002</v>
      </c>
      <c r="E156" s="71"/>
      <c r="F156" s="227">
        <v>174660.9</v>
      </c>
      <c r="G156" s="227">
        <v>211748.68132867262</v>
      </c>
      <c r="H156" s="71"/>
      <c r="I156" s="71"/>
      <c r="J156" s="71"/>
    </row>
    <row r="157" spans="1:10">
      <c r="A157" t="s">
        <v>191</v>
      </c>
      <c r="B157" s="71"/>
      <c r="C157" s="227"/>
      <c r="D157" s="227">
        <v>1179.9668257902003</v>
      </c>
      <c r="E157" s="71"/>
      <c r="F157" s="227">
        <v>164959.06666666668</v>
      </c>
      <c r="G157" s="227">
        <v>154794.77670321421</v>
      </c>
      <c r="H157" s="71"/>
      <c r="I157" s="71"/>
      <c r="J157" s="71"/>
    </row>
    <row r="158" spans="1:10">
      <c r="A158" t="s">
        <v>442</v>
      </c>
      <c r="B158" s="71">
        <f>J154</f>
        <v>3160679</v>
      </c>
      <c r="C158" s="142" t="s">
        <v>443</v>
      </c>
      <c r="D158" s="71">
        <f>D155+D156+D157</f>
        <v>4972.849184152501</v>
      </c>
      <c r="E158" s="71">
        <f>SUM(B158:D158)</f>
        <v>3165651.8491841527</v>
      </c>
      <c r="F158" s="71">
        <f>F155+F156+F157</f>
        <v>515960.46666666667</v>
      </c>
      <c r="G158" s="71">
        <f>G155+G156+G157</f>
        <v>595171.61683146516</v>
      </c>
      <c r="H158" s="71"/>
      <c r="I158" s="71"/>
      <c r="J158" s="71">
        <f>'tab01'!D96</f>
        <v>2109303</v>
      </c>
    </row>
    <row r="159" spans="1:10">
      <c r="A159" t="s">
        <v>192</v>
      </c>
      <c r="B159" s="71"/>
      <c r="C159" s="71"/>
      <c r="D159" s="227">
        <v>2135.1899654253002</v>
      </c>
      <c r="E159" s="71"/>
      <c r="F159" s="227">
        <v>182174.66666666666</v>
      </c>
      <c r="G159" s="227">
        <v>118996.9661346879</v>
      </c>
      <c r="H159" s="71"/>
      <c r="I159" s="71"/>
      <c r="J159" s="71"/>
    </row>
    <row r="160" spans="1:10">
      <c r="A160" t="s">
        <v>193</v>
      </c>
      <c r="B160" s="71"/>
      <c r="C160" s="71"/>
      <c r="D160" s="227">
        <v>2421.0262257720001</v>
      </c>
      <c r="E160" s="71"/>
      <c r="F160" s="227">
        <v>171638.23333333334</v>
      </c>
      <c r="G160" s="227">
        <v>79637.047490460609</v>
      </c>
      <c r="H160" s="71"/>
      <c r="I160" s="71"/>
      <c r="J160" s="71"/>
    </row>
    <row r="161" spans="1:10">
      <c r="A161" t="s">
        <v>196</v>
      </c>
      <c r="B161" s="71"/>
      <c r="C161" s="71"/>
      <c r="D161" s="227">
        <v>1855.4540778711003</v>
      </c>
      <c r="E161" s="71"/>
      <c r="F161" s="227">
        <v>172468</v>
      </c>
      <c r="G161" s="227">
        <v>109892.866157886</v>
      </c>
      <c r="H161" s="71"/>
      <c r="I161" s="71"/>
      <c r="J161" s="71"/>
    </row>
    <row r="162" spans="1:10">
      <c r="A162" t="s">
        <v>444</v>
      </c>
      <c r="B162" s="71">
        <f>J158</f>
        <v>2109303</v>
      </c>
      <c r="C162" s="142" t="s">
        <v>443</v>
      </c>
      <c r="D162" s="71">
        <f>D159+D160+D161</f>
        <v>6411.6702690683996</v>
      </c>
      <c r="E162" s="71">
        <f>SUM(B162:D162)</f>
        <v>2115714.6702690683</v>
      </c>
      <c r="F162" s="71">
        <f>F159+F160+F161</f>
        <v>526280.9</v>
      </c>
      <c r="G162" s="71">
        <f>G159+G160+G161</f>
        <v>308526.8797830345</v>
      </c>
      <c r="H162" s="71"/>
      <c r="I162" s="71"/>
      <c r="J162" s="71">
        <f>'tab01'!D97</f>
        <v>1219329</v>
      </c>
    </row>
    <row r="163" spans="1:10">
      <c r="A163" t="s">
        <v>149</v>
      </c>
      <c r="B163" s="71"/>
      <c r="C163" s="71"/>
      <c r="D163" s="227">
        <v>1901.9346746526001</v>
      </c>
      <c r="E163" s="71"/>
      <c r="F163" s="227">
        <v>169564.7</v>
      </c>
      <c r="G163" s="227">
        <v>119629.51598497829</v>
      </c>
      <c r="H163" s="71"/>
      <c r="I163" s="71"/>
      <c r="J163" s="71"/>
    </row>
    <row r="164" spans="1:10">
      <c r="A164" t="s">
        <v>499</v>
      </c>
      <c r="B164" s="71"/>
      <c r="C164" s="71"/>
      <c r="D164" s="227">
        <v>2162.3715216810001</v>
      </c>
      <c r="E164" s="71"/>
      <c r="F164" s="227">
        <v>178860.93333333332</v>
      </c>
      <c r="G164" s="227">
        <v>125906.15223795421</v>
      </c>
      <c r="H164" s="71"/>
      <c r="I164" s="71"/>
      <c r="J164" s="71"/>
    </row>
    <row r="165" spans="1:10">
      <c r="A165" t="s">
        <v>346</v>
      </c>
      <c r="B165" s="71"/>
      <c r="C165" s="71"/>
      <c r="D165" s="227">
        <v>751.25081406480001</v>
      </c>
      <c r="E165" s="71"/>
      <c r="F165" s="227">
        <v>169629.46666666667</v>
      </c>
      <c r="G165" s="227">
        <v>123734.7728879871</v>
      </c>
      <c r="H165" s="71"/>
      <c r="I165" s="71"/>
      <c r="J165" s="71"/>
    </row>
    <row r="166" spans="1:10">
      <c r="A166" t="s">
        <v>445</v>
      </c>
      <c r="B166" s="71">
        <f>J162</f>
        <v>1219329</v>
      </c>
      <c r="C166" s="142" t="s">
        <v>443</v>
      </c>
      <c r="D166" s="71">
        <f>D163+D164+D165</f>
        <v>4815.5570103984001</v>
      </c>
      <c r="E166" s="71">
        <f>SUM(B166:D166)</f>
        <v>1224144.5570103985</v>
      </c>
      <c r="F166" s="71">
        <f>F163+F164+F165</f>
        <v>518055.1</v>
      </c>
      <c r="G166" s="71">
        <f>G163+G164+G165</f>
        <v>369270.44111091958</v>
      </c>
      <c r="H166" s="71"/>
      <c r="I166" s="71"/>
      <c r="J166" s="71">
        <f>'tab01'!D98</f>
        <v>438105</v>
      </c>
    </row>
    <row r="167" spans="1:10">
      <c r="A167" t="s">
        <v>354</v>
      </c>
      <c r="B167" s="71"/>
      <c r="C167" s="71">
        <f>SUM(C154:C166)</f>
        <v>4411633</v>
      </c>
      <c r="D167" s="71">
        <f>D154+D158+D162+D166</f>
        <v>21821.877959229598</v>
      </c>
      <c r="E167" s="71">
        <f>B154+D167+C167</f>
        <v>4735049.87795923</v>
      </c>
      <c r="F167" s="71">
        <f>F154+F158+F162+F166</f>
        <v>2054932</v>
      </c>
      <c r="G167" s="71">
        <f>G154+G158+G162+G166</f>
        <v>2129100.5444967658</v>
      </c>
      <c r="H167" s="71">
        <f>I167-F167-G167</f>
        <v>551017.33346246416</v>
      </c>
      <c r="I167" s="71">
        <f>E167-J167</f>
        <v>4735049.87795923</v>
      </c>
      <c r="J167" s="71"/>
    </row>
    <row r="168" spans="1:10">
      <c r="B168" s="71"/>
      <c r="C168" s="227"/>
      <c r="D168" s="71"/>
      <c r="E168" s="71"/>
      <c r="F168" s="71"/>
      <c r="G168" s="71"/>
      <c r="H168" s="71"/>
      <c r="I168" s="71"/>
      <c r="J168" s="71"/>
    </row>
    <row r="169" spans="1:10">
      <c r="A169" t="s">
        <v>623</v>
      </c>
      <c r="B169" s="71"/>
      <c r="C169" s="227"/>
      <c r="D169" s="71"/>
      <c r="E169" s="71"/>
      <c r="F169" s="71"/>
      <c r="G169" s="71"/>
      <c r="H169" s="71"/>
      <c r="I169" s="71"/>
      <c r="J169" s="71"/>
    </row>
    <row r="170" spans="1:10">
      <c r="A170" t="s">
        <v>186</v>
      </c>
      <c r="B170" s="71"/>
      <c r="C170" s="227"/>
      <c r="D170" s="227">
        <v>1029.7592415768002</v>
      </c>
      <c r="E170" s="71"/>
      <c r="F170" s="227">
        <v>169649.33333333334</v>
      </c>
      <c r="G170" s="227">
        <v>118950.7263928599</v>
      </c>
      <c r="H170" s="71"/>
      <c r="I170" s="71"/>
      <c r="J170" s="71"/>
    </row>
    <row r="171" spans="1:10">
      <c r="A171" t="s">
        <v>187</v>
      </c>
      <c r="B171" s="71"/>
      <c r="C171" s="227"/>
      <c r="D171" s="227">
        <v>776.15400371459998</v>
      </c>
      <c r="E171" s="71"/>
      <c r="F171" s="227">
        <v>183558.43333333332</v>
      </c>
      <c r="G171" s="227">
        <v>205035.20624444343</v>
      </c>
      <c r="H171" s="71"/>
      <c r="I171" s="71"/>
      <c r="J171" s="71"/>
    </row>
    <row r="172" spans="1:10">
      <c r="A172" t="s">
        <v>188</v>
      </c>
      <c r="B172" s="71"/>
      <c r="C172" s="227"/>
      <c r="D172" s="227">
        <v>1836.0585851327999</v>
      </c>
      <c r="E172" s="71"/>
      <c r="F172" s="227">
        <v>178101.76666666666</v>
      </c>
      <c r="G172" s="227">
        <v>186177.38359057531</v>
      </c>
      <c r="H172" s="71"/>
      <c r="I172" s="71"/>
      <c r="J172" s="71"/>
    </row>
    <row r="173" spans="1:10">
      <c r="A173" t="s">
        <v>441</v>
      </c>
      <c r="B173" s="71">
        <f>J166</f>
        <v>438105</v>
      </c>
      <c r="C173" s="227">
        <f>'tab02'!E64</f>
        <v>4543883</v>
      </c>
      <c r="D173" s="71">
        <f>D170+D171+D172</f>
        <v>3641.9718304241997</v>
      </c>
      <c r="E173" s="71">
        <f>SUM(B173:D173)</f>
        <v>4985629.9718304239</v>
      </c>
      <c r="F173" s="71">
        <f>F170+F171+F172</f>
        <v>531309.53333333333</v>
      </c>
      <c r="G173" s="71">
        <f>G170+G171+G172</f>
        <v>510163.31622787862</v>
      </c>
      <c r="H173" s="71">
        <f>I173-F173-G173</f>
        <v>3944157.1222692123</v>
      </c>
      <c r="I173" s="71">
        <f>E173-J173</f>
        <v>4985629.9718304239</v>
      </c>
      <c r="J173" s="71"/>
    </row>
    <row r="174" spans="1:10">
      <c r="A174" s="1"/>
      <c r="B174" s="30"/>
      <c r="C174" s="148"/>
      <c r="D174" s="30"/>
      <c r="E174" s="30"/>
      <c r="F174" s="30"/>
      <c r="G174" s="30"/>
      <c r="H174" s="30"/>
      <c r="I174" s="30"/>
      <c r="J174" s="30"/>
    </row>
    <row r="175" spans="1:10">
      <c r="A175" t="s">
        <v>542</v>
      </c>
      <c r="B175" s="71"/>
      <c r="C175" s="142"/>
      <c r="D175" s="71"/>
      <c r="E175" s="71"/>
      <c r="F175" s="71"/>
      <c r="G175" s="71"/>
      <c r="H175" s="71"/>
      <c r="I175" s="71"/>
      <c r="J175" s="71"/>
    </row>
    <row r="176" spans="1:10" ht="10.199999999999999" customHeight="1">
      <c r="A176" t="s">
        <v>506</v>
      </c>
      <c r="B176" s="71"/>
      <c r="C176" s="142"/>
      <c r="D176" s="71"/>
      <c r="E176" s="71"/>
      <c r="F176" s="71"/>
      <c r="G176" s="71"/>
      <c r="H176" s="71"/>
      <c r="J176" s="270" t="s">
        <v>679</v>
      </c>
    </row>
    <row r="177" spans="2:10">
      <c r="B177" s="71"/>
      <c r="C177" s="71"/>
      <c r="D177" s="71"/>
      <c r="E177" s="71"/>
      <c r="F177" s="71"/>
      <c r="G177" s="71"/>
      <c r="H177" s="71"/>
    </row>
    <row r="178" spans="2:10">
      <c r="B178" s="71"/>
      <c r="C178" s="71"/>
      <c r="D178" s="71"/>
      <c r="E178" s="71"/>
      <c r="F178" s="71"/>
      <c r="G178" s="71"/>
      <c r="H178" s="71"/>
      <c r="I178" s="71"/>
      <c r="J178" s="71"/>
    </row>
    <row r="179" spans="2:10">
      <c r="B179" s="71"/>
      <c r="C179" s="71"/>
      <c r="D179" s="71"/>
      <c r="E179" s="71"/>
      <c r="F179" s="71"/>
      <c r="G179" s="71"/>
      <c r="H179" s="71"/>
      <c r="I179" s="71"/>
      <c r="J179" s="71"/>
    </row>
    <row r="180" spans="2:10">
      <c r="B180" s="71"/>
      <c r="C180" s="71"/>
      <c r="D180" s="71"/>
      <c r="E180" s="71"/>
      <c r="F180" s="71"/>
      <c r="G180" s="71"/>
      <c r="H180" s="71"/>
      <c r="I180" s="71"/>
      <c r="J180" s="71"/>
    </row>
    <row r="181" spans="2:10">
      <c r="B181" s="71"/>
      <c r="C181" s="142"/>
      <c r="D181" s="71"/>
      <c r="E181" s="71"/>
      <c r="F181" s="71"/>
      <c r="G181" s="71"/>
      <c r="H181" s="71"/>
      <c r="I181" s="71"/>
      <c r="J181" s="71"/>
    </row>
    <row r="182" spans="2:10">
      <c r="B182" s="71"/>
      <c r="C182" s="142"/>
      <c r="D182" s="71"/>
      <c r="E182" s="71"/>
      <c r="F182" s="71"/>
      <c r="G182" s="71"/>
      <c r="H182" s="71"/>
      <c r="I182" s="71"/>
      <c r="J182" s="71"/>
    </row>
    <row r="183" spans="2:10">
      <c r="B183" s="71"/>
      <c r="C183" s="142"/>
      <c r="D183" s="71"/>
      <c r="E183" s="71"/>
      <c r="F183" s="71"/>
      <c r="G183" s="71"/>
      <c r="H183" s="71"/>
      <c r="I183" s="71"/>
      <c r="J183" s="71"/>
    </row>
    <row r="184" spans="2:10">
      <c r="B184" s="71"/>
      <c r="C184" s="71"/>
      <c r="D184" s="71"/>
      <c r="E184" s="71"/>
      <c r="F184" s="71"/>
      <c r="G184" s="71"/>
      <c r="H184" s="71"/>
      <c r="I184" s="71"/>
      <c r="J184" s="71"/>
    </row>
    <row r="185" spans="2:10">
      <c r="B185" s="71"/>
      <c r="C185" s="71"/>
      <c r="D185" s="71"/>
      <c r="E185" s="71"/>
      <c r="F185" s="71"/>
      <c r="G185" s="71"/>
      <c r="H185" s="71"/>
      <c r="I185" s="71"/>
      <c r="J185" s="71"/>
    </row>
    <row r="186" spans="2:10">
      <c r="B186" s="71"/>
      <c r="C186" s="71"/>
      <c r="D186" s="71"/>
      <c r="E186" s="71"/>
      <c r="F186" s="71"/>
      <c r="G186" s="71"/>
      <c r="H186" s="71"/>
      <c r="I186" s="71"/>
      <c r="J186" s="71"/>
    </row>
    <row r="187" spans="2:10">
      <c r="B187" s="71"/>
      <c r="C187" s="71"/>
      <c r="D187" s="71"/>
      <c r="E187" s="71"/>
      <c r="F187" s="71"/>
      <c r="G187" s="71"/>
      <c r="H187" s="71"/>
      <c r="I187" s="71"/>
      <c r="J187" s="71"/>
    </row>
    <row r="188" spans="2:10">
      <c r="B188" s="71"/>
      <c r="C188" s="142"/>
      <c r="D188" s="71"/>
      <c r="E188" s="71"/>
      <c r="F188" s="71"/>
      <c r="G188" s="71"/>
      <c r="H188" s="71"/>
      <c r="I188" s="71"/>
      <c r="J188" s="71"/>
    </row>
    <row r="189" spans="2:10">
      <c r="B189" s="71"/>
      <c r="C189" s="142"/>
      <c r="D189" s="71"/>
      <c r="E189" s="71"/>
      <c r="F189" s="71"/>
      <c r="G189" s="71"/>
      <c r="H189" s="71"/>
      <c r="I189" s="71"/>
      <c r="J189" s="71"/>
    </row>
    <row r="190" spans="2:10">
      <c r="B190" s="71"/>
      <c r="C190" s="142"/>
      <c r="D190" s="71"/>
      <c r="E190" s="71"/>
      <c r="F190" s="71"/>
      <c r="G190" s="71"/>
      <c r="H190" s="71"/>
      <c r="I190" s="71"/>
      <c r="J190" s="71"/>
    </row>
    <row r="191" spans="2:10">
      <c r="B191" s="71"/>
      <c r="C191" s="71"/>
      <c r="D191" s="71"/>
      <c r="E191" s="71"/>
      <c r="F191" s="71"/>
      <c r="G191" s="71"/>
      <c r="H191" s="71"/>
      <c r="I191" s="71"/>
      <c r="J191" s="71"/>
    </row>
    <row r="192" spans="2:10">
      <c r="B192" s="71"/>
      <c r="C192" s="71"/>
      <c r="D192" s="71"/>
      <c r="E192" s="71"/>
      <c r="F192" s="71"/>
      <c r="G192" s="71"/>
      <c r="H192" s="71"/>
      <c r="I192" s="71"/>
      <c r="J192" s="71"/>
    </row>
    <row r="193" spans="2:10">
      <c r="B193" s="71"/>
      <c r="C193" s="71"/>
      <c r="D193" s="71"/>
      <c r="E193" s="71"/>
      <c r="F193" s="71"/>
      <c r="G193" s="71"/>
      <c r="H193" s="71"/>
      <c r="I193" s="71"/>
      <c r="J193" s="71"/>
    </row>
    <row r="194" spans="2:10">
      <c r="B194" s="71"/>
      <c r="C194" s="71"/>
      <c r="D194" s="71"/>
      <c r="E194" s="71"/>
      <c r="F194" s="71"/>
      <c r="G194" s="71"/>
      <c r="H194" s="71"/>
      <c r="I194" s="71"/>
      <c r="J194" s="71"/>
    </row>
    <row r="195" spans="2:10">
      <c r="B195" s="71"/>
      <c r="C195" s="142"/>
      <c r="D195" s="71"/>
      <c r="E195" s="71"/>
      <c r="F195" s="71"/>
      <c r="G195" s="71"/>
      <c r="H195" s="71"/>
      <c r="I195" s="71"/>
      <c r="J195" s="71"/>
    </row>
    <row r="196" spans="2:10">
      <c r="B196" s="71"/>
      <c r="C196" s="142"/>
      <c r="D196" s="71"/>
      <c r="E196" s="71"/>
      <c r="F196" s="71"/>
      <c r="G196" s="71"/>
      <c r="H196" s="71"/>
      <c r="I196" s="71"/>
      <c r="J196" s="71"/>
    </row>
    <row r="197" spans="2:10">
      <c r="B197" s="71"/>
      <c r="C197" s="142"/>
      <c r="D197" s="71"/>
      <c r="E197" s="71"/>
      <c r="F197" s="71"/>
      <c r="G197" s="71"/>
      <c r="H197" s="71"/>
      <c r="I197" s="71"/>
      <c r="J197" s="71"/>
    </row>
    <row r="198" spans="2:10">
      <c r="B198" s="71"/>
      <c r="C198" s="71"/>
      <c r="D198" s="71"/>
      <c r="E198" s="71"/>
      <c r="F198" s="71"/>
      <c r="G198" s="71"/>
      <c r="H198" s="71"/>
      <c r="I198" s="71"/>
      <c r="J198" s="71"/>
    </row>
    <row r="199" spans="2:10">
      <c r="B199" s="71"/>
      <c r="C199" s="71"/>
      <c r="D199" s="71"/>
      <c r="E199" s="71"/>
      <c r="F199" s="71"/>
      <c r="G199" s="71"/>
      <c r="H199" s="71"/>
      <c r="I199" s="71"/>
      <c r="J199" s="71"/>
    </row>
    <row r="200" spans="2:10">
      <c r="B200" s="71"/>
      <c r="C200" s="71"/>
      <c r="D200" s="71"/>
      <c r="E200" s="71"/>
      <c r="F200" s="71"/>
      <c r="G200" s="71"/>
      <c r="H200" s="71"/>
      <c r="I200" s="71"/>
      <c r="J200" s="71"/>
    </row>
    <row r="201" spans="2:10">
      <c r="B201" s="71"/>
      <c r="C201" s="71"/>
      <c r="D201" s="71"/>
      <c r="E201" s="71"/>
      <c r="F201" s="71"/>
      <c r="G201" s="71"/>
      <c r="H201" s="71"/>
      <c r="I201" s="71"/>
      <c r="J201" s="71"/>
    </row>
    <row r="202" spans="2:10">
      <c r="B202" s="71"/>
      <c r="C202" s="142"/>
      <c r="D202" s="71"/>
      <c r="E202" s="71"/>
      <c r="F202" s="71"/>
      <c r="G202" s="71"/>
      <c r="H202" s="71"/>
      <c r="I202" s="71"/>
      <c r="J202" s="71"/>
    </row>
    <row r="203" spans="2:10">
      <c r="B203" s="71"/>
      <c r="C203" s="142"/>
      <c r="D203" s="71"/>
      <c r="E203" s="71"/>
      <c r="F203" s="71"/>
      <c r="G203" s="71"/>
      <c r="H203" s="71"/>
      <c r="I203" s="71"/>
      <c r="J203" s="71"/>
    </row>
    <row r="204" spans="2:10">
      <c r="B204" s="71"/>
      <c r="C204" s="142"/>
      <c r="D204" s="71"/>
      <c r="E204" s="71"/>
      <c r="F204" s="71"/>
      <c r="G204" s="71"/>
      <c r="H204" s="71"/>
      <c r="I204" s="71"/>
      <c r="J204" s="71"/>
    </row>
    <row r="205" spans="2:10">
      <c r="B205" s="71"/>
      <c r="C205" s="71"/>
      <c r="D205" s="71"/>
      <c r="E205" s="71"/>
      <c r="F205" s="71"/>
      <c r="G205" s="71"/>
      <c r="H205" s="71"/>
      <c r="I205" s="71"/>
      <c r="J205" s="71"/>
    </row>
    <row r="206" spans="2:10">
      <c r="B206" s="71"/>
      <c r="C206" s="71"/>
      <c r="D206" s="71"/>
      <c r="E206" s="71"/>
      <c r="F206" s="71"/>
      <c r="G206" s="71"/>
      <c r="H206" s="71"/>
      <c r="I206" s="71"/>
      <c r="J206" s="71"/>
    </row>
    <row r="207" spans="2:10">
      <c r="B207" s="71"/>
      <c r="C207" s="71"/>
      <c r="D207" s="71"/>
      <c r="E207" s="71"/>
      <c r="F207" s="71"/>
      <c r="G207" s="71"/>
      <c r="H207" s="71"/>
      <c r="I207" s="71"/>
      <c r="J207" s="71"/>
    </row>
    <row r="208" spans="2:10">
      <c r="B208" s="71"/>
      <c r="C208" s="71"/>
      <c r="D208" s="71"/>
      <c r="E208" s="71"/>
      <c r="F208" s="71"/>
      <c r="G208" s="71"/>
      <c r="H208" s="71"/>
      <c r="I208" s="71"/>
      <c r="J208" s="71"/>
    </row>
    <row r="209" spans="2:10">
      <c r="B209" s="71"/>
      <c r="C209" s="142"/>
      <c r="D209" s="71"/>
      <c r="E209" s="71"/>
      <c r="F209" s="71"/>
      <c r="G209" s="71"/>
      <c r="H209" s="71"/>
      <c r="I209" s="71"/>
      <c r="J209" s="71"/>
    </row>
    <row r="210" spans="2:10">
      <c r="B210" s="71"/>
      <c r="C210" s="142"/>
      <c r="D210" s="71"/>
      <c r="E210" s="71"/>
      <c r="F210" s="71"/>
      <c r="G210" s="71"/>
      <c r="H210" s="71"/>
      <c r="I210" s="71"/>
      <c r="J210" s="71"/>
    </row>
    <row r="211" spans="2:10">
      <c r="B211" s="71"/>
      <c r="C211" s="142"/>
      <c r="D211" s="71"/>
      <c r="E211" s="71"/>
      <c r="F211" s="71"/>
      <c r="G211" s="71"/>
      <c r="H211" s="71"/>
      <c r="I211" s="71"/>
      <c r="J211" s="71"/>
    </row>
    <row r="212" spans="2:10">
      <c r="B212" s="71"/>
      <c r="C212" s="71"/>
      <c r="D212" s="71"/>
      <c r="E212" s="71"/>
      <c r="F212" s="71"/>
      <c r="G212" s="71"/>
      <c r="H212" s="71"/>
      <c r="I212" s="71"/>
      <c r="J212" s="71"/>
    </row>
    <row r="213" spans="2:10">
      <c r="B213" s="71"/>
      <c r="C213" s="71"/>
      <c r="D213" s="71"/>
      <c r="E213" s="71"/>
      <c r="F213" s="71"/>
      <c r="G213" s="71"/>
      <c r="H213" s="71"/>
      <c r="I213" s="71"/>
      <c r="J213" s="71"/>
    </row>
    <row r="214" spans="2:10">
      <c r="B214" s="71"/>
      <c r="C214" s="71"/>
      <c r="D214" s="71"/>
      <c r="E214" s="71"/>
      <c r="F214" s="71"/>
      <c r="G214" s="71"/>
      <c r="H214" s="71"/>
      <c r="I214" s="71"/>
      <c r="J214" s="71"/>
    </row>
    <row r="215" spans="2:10">
      <c r="B215" s="71"/>
      <c r="C215" s="71"/>
      <c r="D215" s="71"/>
      <c r="E215" s="71"/>
      <c r="F215" s="71"/>
      <c r="G215" s="71"/>
      <c r="H215" s="71"/>
      <c r="I215" s="71"/>
      <c r="J215" s="71"/>
    </row>
    <row r="216" spans="2:10">
      <c r="B216" s="71"/>
      <c r="C216" s="142"/>
      <c r="D216" s="71"/>
      <c r="E216" s="71"/>
      <c r="F216" s="71"/>
      <c r="G216" s="71"/>
      <c r="H216" s="71"/>
      <c r="I216" s="71"/>
      <c r="J216" s="71"/>
    </row>
    <row r="217" spans="2:10">
      <c r="B217" s="71"/>
      <c r="C217" s="142"/>
      <c r="D217" s="71"/>
      <c r="E217" s="71"/>
      <c r="F217" s="71"/>
      <c r="G217" s="71"/>
      <c r="H217" s="71"/>
      <c r="I217" s="71"/>
      <c r="J217" s="71"/>
    </row>
    <row r="218" spans="2:10">
      <c r="B218" s="71"/>
      <c r="C218" s="142"/>
      <c r="D218" s="71"/>
      <c r="E218" s="71"/>
      <c r="F218" s="71"/>
      <c r="G218" s="71"/>
      <c r="H218" s="71"/>
      <c r="I218" s="71"/>
      <c r="J218" s="71"/>
    </row>
    <row r="219" spans="2:10">
      <c r="B219" s="71"/>
      <c r="C219" s="71"/>
      <c r="D219" s="71"/>
      <c r="E219" s="71"/>
      <c r="F219" s="71"/>
      <c r="G219" s="71"/>
      <c r="H219" s="71"/>
      <c r="I219" s="71"/>
      <c r="J219" s="71"/>
    </row>
    <row r="220" spans="2:10">
      <c r="B220" s="71"/>
      <c r="C220" s="71"/>
      <c r="D220" s="71"/>
      <c r="E220" s="71"/>
      <c r="F220" s="71"/>
      <c r="G220" s="71"/>
      <c r="H220" s="71"/>
      <c r="I220" s="71"/>
      <c r="J220" s="71"/>
    </row>
    <row r="221" spans="2:10">
      <c r="B221" s="71"/>
      <c r="C221" s="71"/>
      <c r="D221" s="71"/>
      <c r="E221" s="71"/>
      <c r="F221" s="71"/>
      <c r="G221" s="71"/>
      <c r="H221" s="71"/>
      <c r="I221" s="71"/>
      <c r="J221" s="71"/>
    </row>
    <row r="222" spans="2:10">
      <c r="B222" s="71"/>
      <c r="C222" s="71"/>
      <c r="D222" s="71"/>
      <c r="E222" s="71"/>
      <c r="F222" s="71"/>
      <c r="G222" s="71"/>
      <c r="H222" s="71"/>
      <c r="I222" s="71"/>
      <c r="J222" s="71"/>
    </row>
    <row r="223" spans="2:10">
      <c r="B223" s="71"/>
      <c r="C223" s="142"/>
      <c r="D223" s="71"/>
      <c r="E223" s="71"/>
      <c r="F223" s="71"/>
      <c r="G223" s="71"/>
      <c r="H223" s="71"/>
      <c r="I223" s="71"/>
      <c r="J223" s="71"/>
    </row>
    <row r="224" spans="2:10">
      <c r="B224" s="71"/>
      <c r="C224" s="142"/>
      <c r="D224" s="71"/>
      <c r="E224" s="71"/>
      <c r="F224" s="71"/>
      <c r="G224" s="71"/>
      <c r="H224" s="71"/>
      <c r="I224" s="71"/>
      <c r="J224" s="71"/>
    </row>
    <row r="225" spans="2:10">
      <c r="B225" s="71"/>
      <c r="C225" s="142"/>
      <c r="D225" s="71"/>
      <c r="E225" s="71"/>
      <c r="F225" s="71"/>
      <c r="G225" s="71"/>
      <c r="H225" s="71"/>
      <c r="I225" s="71"/>
      <c r="J225" s="71"/>
    </row>
    <row r="226" spans="2:10">
      <c r="B226" s="71"/>
      <c r="C226" s="71"/>
      <c r="D226" s="71"/>
      <c r="E226" s="71"/>
      <c r="F226" s="71"/>
      <c r="G226" s="71"/>
      <c r="H226" s="71"/>
      <c r="I226" s="71"/>
      <c r="J226" s="71"/>
    </row>
    <row r="227" spans="2:10">
      <c r="B227" s="71"/>
      <c r="C227" s="71"/>
      <c r="D227" s="71"/>
      <c r="E227" s="71"/>
      <c r="F227" s="71"/>
      <c r="G227" s="71"/>
      <c r="H227" s="71"/>
      <c r="I227" s="71"/>
      <c r="J227" s="71"/>
    </row>
    <row r="228" spans="2:10">
      <c r="B228" s="71"/>
      <c r="C228" s="71"/>
      <c r="D228" s="71"/>
      <c r="E228" s="71"/>
      <c r="F228" s="71"/>
      <c r="G228" s="71"/>
      <c r="H228" s="71"/>
      <c r="I228" s="71"/>
      <c r="J228" s="71"/>
    </row>
    <row r="229" spans="2:10">
      <c r="B229" s="71"/>
      <c r="C229" s="71"/>
      <c r="D229" s="71"/>
      <c r="E229" s="71"/>
      <c r="F229" s="71"/>
      <c r="G229" s="71"/>
      <c r="H229" s="71"/>
      <c r="I229" s="71"/>
      <c r="J229" s="71"/>
    </row>
    <row r="230" spans="2:10">
      <c r="B230" s="71"/>
      <c r="C230" s="142"/>
      <c r="D230" s="71"/>
      <c r="E230" s="71"/>
      <c r="F230" s="71"/>
      <c r="G230" s="71"/>
      <c r="H230" s="71"/>
      <c r="I230" s="71"/>
      <c r="J230" s="71"/>
    </row>
    <row r="231" spans="2:10">
      <c r="B231" s="71"/>
      <c r="C231" s="142"/>
      <c r="D231" s="71"/>
      <c r="E231" s="71"/>
      <c r="F231" s="71"/>
      <c r="G231" s="71"/>
      <c r="H231" s="71"/>
      <c r="I231" s="71"/>
      <c r="J231" s="71"/>
    </row>
    <row r="232" spans="2:10">
      <c r="B232" s="71"/>
      <c r="C232" s="142"/>
      <c r="D232" s="71"/>
      <c r="E232" s="71"/>
      <c r="F232" s="71"/>
      <c r="G232" s="71"/>
      <c r="H232" s="71"/>
      <c r="I232" s="71"/>
      <c r="J232" s="71"/>
    </row>
    <row r="233" spans="2:10">
      <c r="B233" s="71"/>
      <c r="C233" s="71"/>
      <c r="D233" s="71"/>
      <c r="E233" s="71"/>
      <c r="F233" s="71"/>
      <c r="G233" s="71"/>
      <c r="H233" s="71"/>
      <c r="I233" s="71"/>
      <c r="J233" s="71"/>
    </row>
    <row r="234" spans="2:10">
      <c r="B234" s="71"/>
      <c r="C234" s="71"/>
      <c r="D234" s="71"/>
      <c r="E234" s="71"/>
      <c r="F234" s="71"/>
      <c r="G234" s="71"/>
      <c r="H234" s="71"/>
      <c r="I234" s="71"/>
      <c r="J234" s="71"/>
    </row>
    <row r="235" spans="2:10">
      <c r="B235" s="71"/>
      <c r="C235" s="71"/>
      <c r="D235" s="71"/>
      <c r="E235" s="71"/>
      <c r="F235" s="71"/>
      <c r="G235" s="71"/>
      <c r="H235" s="71"/>
      <c r="I235" s="71"/>
      <c r="J235" s="71"/>
    </row>
    <row r="236" spans="2:10">
      <c r="B236" s="71"/>
      <c r="C236" s="71"/>
      <c r="D236" s="71"/>
      <c r="E236" s="71"/>
      <c r="F236" s="71"/>
      <c r="G236" s="71"/>
      <c r="H236" s="71"/>
      <c r="I236" s="71"/>
      <c r="J236" s="71"/>
    </row>
    <row r="237" spans="2:10">
      <c r="B237" s="71"/>
      <c r="C237" s="142"/>
      <c r="D237" s="71"/>
      <c r="E237" s="71"/>
      <c r="F237" s="71"/>
      <c r="G237" s="71"/>
      <c r="H237" s="71"/>
      <c r="I237" s="71"/>
      <c r="J237" s="71"/>
    </row>
    <row r="238" spans="2:10">
      <c r="B238" s="71"/>
      <c r="C238" s="142"/>
      <c r="D238" s="71"/>
      <c r="E238" s="71"/>
      <c r="F238" s="71"/>
      <c r="G238" s="71"/>
      <c r="H238" s="71"/>
      <c r="I238" s="71"/>
      <c r="J238" s="71"/>
    </row>
    <row r="239" spans="2:10">
      <c r="B239" s="71"/>
      <c r="C239" s="142"/>
      <c r="D239" s="71"/>
      <c r="E239" s="71"/>
      <c r="F239" s="71"/>
      <c r="G239" s="71"/>
      <c r="H239" s="71"/>
      <c r="I239" s="71"/>
      <c r="J239" s="71"/>
    </row>
    <row r="240" spans="2:10">
      <c r="B240" s="71"/>
      <c r="C240" s="71"/>
      <c r="D240" s="71"/>
      <c r="E240" s="71"/>
      <c r="F240" s="71"/>
      <c r="G240" s="71"/>
      <c r="H240" s="71"/>
      <c r="I240" s="71"/>
      <c r="J240" s="71"/>
    </row>
    <row r="241" spans="2:10">
      <c r="B241" s="71"/>
      <c r="C241" s="71"/>
      <c r="D241" s="71"/>
      <c r="E241" s="71"/>
      <c r="F241" s="71"/>
      <c r="G241" s="71"/>
      <c r="H241" s="71"/>
      <c r="I241" s="71"/>
      <c r="J241" s="71"/>
    </row>
    <row r="242" spans="2:10">
      <c r="B242" s="71"/>
      <c r="C242" s="71"/>
      <c r="D242" s="71"/>
      <c r="E242" s="71"/>
      <c r="F242" s="71"/>
      <c r="G242" s="71"/>
      <c r="H242" s="71"/>
      <c r="I242" s="71"/>
      <c r="J242" s="71"/>
    </row>
    <row r="243" spans="2:10">
      <c r="B243" s="71"/>
      <c r="C243" s="71"/>
      <c r="D243" s="71"/>
      <c r="E243" s="71"/>
      <c r="F243" s="71"/>
      <c r="G243" s="71"/>
      <c r="H243" s="71"/>
      <c r="I243" s="71"/>
      <c r="J243" s="71"/>
    </row>
    <row r="244" spans="2:10">
      <c r="B244" s="71"/>
      <c r="C244" s="142"/>
      <c r="D244" s="71"/>
      <c r="E244" s="71"/>
      <c r="F244" s="71"/>
      <c r="G244" s="71"/>
      <c r="H244" s="71"/>
      <c r="I244" s="71"/>
      <c r="J244" s="71"/>
    </row>
    <row r="245" spans="2:10">
      <c r="B245" s="71"/>
      <c r="C245" s="142"/>
      <c r="D245" s="71"/>
      <c r="E245" s="71"/>
      <c r="F245" s="71"/>
      <c r="G245" s="71"/>
      <c r="H245" s="71"/>
      <c r="I245" s="71"/>
      <c r="J245" s="71"/>
    </row>
    <row r="246" spans="2:10">
      <c r="B246" s="71"/>
      <c r="C246" s="142"/>
      <c r="D246" s="71"/>
      <c r="E246" s="71"/>
      <c r="F246" s="71"/>
      <c r="G246" s="71"/>
      <c r="H246" s="71"/>
      <c r="I246" s="71"/>
      <c r="J246" s="71"/>
    </row>
    <row r="247" spans="2:10">
      <c r="B247" s="71"/>
      <c r="C247" s="71"/>
      <c r="D247" s="71"/>
      <c r="E247" s="71"/>
      <c r="F247" s="71"/>
      <c r="G247" s="71"/>
      <c r="H247" s="71"/>
      <c r="I247" s="71"/>
      <c r="J247" s="71"/>
    </row>
    <row r="248" spans="2:10">
      <c r="B248" s="71"/>
      <c r="C248" s="71"/>
      <c r="D248" s="71"/>
      <c r="E248" s="71"/>
      <c r="F248" s="71"/>
      <c r="G248" s="71"/>
      <c r="H248" s="71"/>
      <c r="I248" s="71"/>
      <c r="J248" s="71"/>
    </row>
    <row r="249" spans="2:10">
      <c r="B249" s="71"/>
      <c r="C249" s="71"/>
      <c r="D249" s="71"/>
      <c r="E249" s="71"/>
      <c r="F249" s="71"/>
      <c r="G249" s="71"/>
      <c r="H249" s="71"/>
      <c r="I249" s="71"/>
      <c r="J249" s="71"/>
    </row>
    <row r="250" spans="2:10">
      <c r="B250" s="71"/>
      <c r="C250" s="71"/>
      <c r="D250" s="71"/>
      <c r="E250" s="71"/>
      <c r="F250" s="71"/>
      <c r="G250" s="71"/>
      <c r="H250" s="71"/>
      <c r="I250" s="71"/>
      <c r="J250" s="71"/>
    </row>
    <row r="251" spans="2:10">
      <c r="B251" s="71"/>
      <c r="C251" s="142"/>
      <c r="D251" s="71"/>
      <c r="E251" s="71"/>
      <c r="F251" s="71"/>
      <c r="G251" s="71"/>
      <c r="H251" s="71"/>
      <c r="I251" s="71"/>
      <c r="J251" s="71"/>
    </row>
    <row r="252" spans="2:10">
      <c r="B252" s="71"/>
      <c r="C252" s="142"/>
      <c r="D252" s="71"/>
      <c r="E252" s="71"/>
      <c r="F252" s="71"/>
      <c r="G252" s="71"/>
      <c r="H252" s="71"/>
      <c r="I252" s="71"/>
      <c r="J252" s="71"/>
    </row>
    <row r="253" spans="2:10">
      <c r="B253" s="71"/>
      <c r="C253" s="142"/>
      <c r="D253" s="71"/>
      <c r="E253" s="71"/>
      <c r="F253" s="71"/>
      <c r="G253" s="71"/>
      <c r="H253" s="71"/>
      <c r="I253" s="71"/>
      <c r="J253" s="71"/>
    </row>
    <row r="254" spans="2:10">
      <c r="B254" s="71"/>
      <c r="C254" s="71"/>
      <c r="D254" s="71"/>
      <c r="E254" s="71"/>
      <c r="F254" s="71"/>
      <c r="G254" s="71"/>
      <c r="H254" s="71"/>
      <c r="I254" s="71"/>
      <c r="J254" s="71"/>
    </row>
    <row r="255" spans="2:10">
      <c r="B255" s="71"/>
      <c r="C255" s="71"/>
      <c r="D255" s="71"/>
      <c r="E255" s="71"/>
      <c r="F255" s="71"/>
      <c r="G255" s="71"/>
      <c r="H255" s="71"/>
      <c r="I255" s="71"/>
      <c r="J255" s="71"/>
    </row>
    <row r="256" spans="2:10">
      <c r="B256" s="71"/>
      <c r="C256" s="71"/>
      <c r="D256" s="71"/>
      <c r="E256" s="71"/>
      <c r="F256" s="71"/>
      <c r="G256" s="71"/>
      <c r="H256" s="71"/>
      <c r="I256" s="71"/>
      <c r="J256" s="71"/>
    </row>
    <row r="257" spans="2:10">
      <c r="B257" s="71"/>
      <c r="C257" s="71"/>
      <c r="D257" s="71"/>
      <c r="E257" s="71"/>
      <c r="F257" s="71"/>
      <c r="G257" s="71"/>
      <c r="H257" s="71"/>
      <c r="I257" s="71"/>
      <c r="J257" s="71"/>
    </row>
    <row r="258" spans="2:10">
      <c r="B258" s="71"/>
      <c r="C258" s="142"/>
      <c r="D258" s="71"/>
      <c r="E258" s="71"/>
      <c r="F258" s="71"/>
      <c r="G258" s="71"/>
      <c r="H258" s="71"/>
      <c r="I258" s="71"/>
      <c r="J258" s="71"/>
    </row>
    <row r="259" spans="2:10">
      <c r="B259" s="71"/>
      <c r="C259" s="142"/>
      <c r="D259" s="71"/>
      <c r="E259" s="71"/>
      <c r="F259" s="71"/>
      <c r="G259" s="71"/>
      <c r="H259" s="71"/>
      <c r="I259" s="71"/>
      <c r="J259" s="71"/>
    </row>
    <row r="260" spans="2:10">
      <c r="B260" s="71"/>
      <c r="C260" s="142"/>
      <c r="D260" s="71"/>
      <c r="E260" s="71"/>
      <c r="F260" s="71"/>
      <c r="G260" s="71"/>
      <c r="H260" s="71"/>
      <c r="I260" s="71"/>
      <c r="J260" s="71"/>
    </row>
    <row r="261" spans="2:10">
      <c r="B261" s="71"/>
      <c r="C261" s="71"/>
      <c r="D261" s="71"/>
      <c r="E261" s="71"/>
      <c r="F261" s="71"/>
      <c r="G261" s="71"/>
      <c r="H261" s="71"/>
      <c r="I261" s="71"/>
      <c r="J261" s="71"/>
    </row>
    <row r="262" spans="2:10">
      <c r="B262" s="71"/>
      <c r="C262" s="71"/>
      <c r="D262" s="71"/>
      <c r="E262" s="71"/>
      <c r="F262" s="71"/>
      <c r="G262" s="71"/>
      <c r="H262" s="71"/>
      <c r="I262" s="71"/>
      <c r="J262" s="71"/>
    </row>
    <row r="349" spans="2:2">
      <c r="B349" s="71"/>
    </row>
    <row r="350" spans="2:2">
      <c r="B350" s="71"/>
    </row>
    <row r="359" spans="2:2">
      <c r="B359" s="71"/>
    </row>
  </sheetData>
  <mergeCells count="2">
    <mergeCell ref="B2:E2"/>
    <mergeCell ref="F2:I2"/>
  </mergeCells>
  <phoneticPr fontId="0" type="noConversion"/>
  <pageMargins left="0.25" right="0.25" top="0.75" bottom="0.75" header="0.3" footer="0.3"/>
  <pageSetup scale="75" firstPageNumber="33" orientation="portrait" useFirstPageNumber="1" r:id="rId1"/>
  <headerFooter alignWithMargins="0">
    <oddFooter>&amp;C&amp;P
Oil Crops Yearbook/OCS-2018
March 2018
Economic Research Service, USDA</oddFooter>
  </headerFooter>
  <rowBreaks count="1" manualBreakCount="1">
    <brk id="254" max="9" man="1"/>
  </rowBreaks>
  <ignoredErrors>
    <ignoredError sqref="E12 E19 E26 E33 E40 E47 E54 E61 E68 E75 E82 E116 E120 E124 E128:E129 E135 H110 H103 H96 H89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7"/>
  <sheetViews>
    <sheetView topLeftCell="A87" zoomScale="106" zoomScaleNormal="106" zoomScaleSheetLayoutView="100" workbookViewId="0">
      <selection activeCell="A105" sqref="A105"/>
    </sheetView>
  </sheetViews>
  <sheetFormatPr defaultRowHeight="10.199999999999999"/>
  <cols>
    <col min="1" max="1" width="15.140625" customWidth="1"/>
    <col min="2" max="9" width="12.7109375" customWidth="1"/>
  </cols>
  <sheetData>
    <row r="1" spans="1:9">
      <c r="A1" s="136" t="s">
        <v>614</v>
      </c>
      <c r="B1" s="1"/>
      <c r="C1" s="1"/>
      <c r="D1" s="1"/>
      <c r="E1" s="1"/>
      <c r="F1" s="1"/>
      <c r="G1" s="1"/>
      <c r="H1" s="1"/>
      <c r="I1" s="1"/>
    </row>
    <row r="2" spans="1:9">
      <c r="B2" s="403" t="s">
        <v>202</v>
      </c>
      <c r="C2" s="404"/>
      <c r="D2" s="404"/>
      <c r="E2" s="405"/>
      <c r="F2" s="403" t="s">
        <v>203</v>
      </c>
      <c r="G2" s="404"/>
      <c r="H2" s="405"/>
    </row>
    <row r="3" spans="1:9">
      <c r="A3" t="s">
        <v>147</v>
      </c>
      <c r="B3" s="363" t="s">
        <v>141</v>
      </c>
      <c r="F3" s="363" t="s">
        <v>142</v>
      </c>
      <c r="H3" s="366"/>
      <c r="I3" s="7" t="s">
        <v>143</v>
      </c>
    </row>
    <row r="4" spans="1:9">
      <c r="A4" t="s">
        <v>100</v>
      </c>
      <c r="B4" s="364" t="s">
        <v>110</v>
      </c>
      <c r="C4" s="176" t="s">
        <v>66</v>
      </c>
      <c r="D4" s="173" t="s">
        <v>88</v>
      </c>
      <c r="E4" s="177" t="s">
        <v>3</v>
      </c>
      <c r="F4" s="364" t="s">
        <v>204</v>
      </c>
      <c r="G4" s="35" t="s">
        <v>90</v>
      </c>
      <c r="H4" s="378" t="s">
        <v>3</v>
      </c>
      <c r="I4" s="35" t="s">
        <v>110</v>
      </c>
    </row>
    <row r="5" spans="1:9">
      <c r="A5" s="1" t="s">
        <v>199</v>
      </c>
      <c r="B5" s="365"/>
      <c r="C5" s="1"/>
      <c r="D5" s="1"/>
      <c r="E5" s="1"/>
      <c r="F5" s="365"/>
      <c r="G5" s="1"/>
      <c r="H5" s="368"/>
      <c r="I5" s="1"/>
    </row>
    <row r="6" spans="1:9">
      <c r="C6" s="277"/>
      <c r="D6" s="277"/>
      <c r="E6" s="305" t="s">
        <v>201</v>
      </c>
      <c r="F6" s="277"/>
      <c r="G6" s="277"/>
      <c r="H6" s="277"/>
      <c r="I6" s="277"/>
    </row>
    <row r="7" spans="1:9">
      <c r="A7" t="s">
        <v>404</v>
      </c>
      <c r="B7" s="38"/>
      <c r="C7" s="76"/>
      <c r="D7" s="76"/>
      <c r="E7" s="76"/>
      <c r="F7" s="76"/>
      <c r="G7" s="76"/>
      <c r="H7" s="76"/>
      <c r="I7" s="77"/>
    </row>
    <row r="8" spans="1:9">
      <c r="A8" t="s">
        <v>187</v>
      </c>
      <c r="B8" s="77">
        <f>308.205+34.764</f>
        <v>342.96899999999999</v>
      </c>
      <c r="C8" s="76">
        <f>3587.55509+281.92317</f>
        <v>3869.4782599999999</v>
      </c>
      <c r="D8" s="76">
        <f>(7928.249+2242+1077.358)*2.204622/2000</f>
        <v>12.398360919777</v>
      </c>
      <c r="E8" s="39">
        <f t="shared" ref="E8:E19" si="0">B8+C8+D8</f>
        <v>4224.8456209197766</v>
      </c>
      <c r="F8" s="39">
        <f t="shared" ref="F8:F19" si="1">H8-G8</f>
        <v>3210.5927098682037</v>
      </c>
      <c r="G8" s="77">
        <f>((529.163932+6.5+107.626311))*(2.204622/2)</f>
        <v>709.10591105157312</v>
      </c>
      <c r="H8" s="39">
        <f t="shared" ref="H8:H19" si="2">E8-I8</f>
        <v>3919.6986209197767</v>
      </c>
      <c r="I8" s="77">
        <f>274.757+30.39</f>
        <v>305.14699999999999</v>
      </c>
    </row>
    <row r="9" spans="1:9">
      <c r="A9" t="s">
        <v>188</v>
      </c>
      <c r="B9" s="76">
        <f>+I8</f>
        <v>305.14699999999999</v>
      </c>
      <c r="C9" s="76">
        <f>3434.1827+275.2598</f>
        <v>3709.4424999999997</v>
      </c>
      <c r="D9" s="76">
        <f>(7477.211+1890+1626.705)*2.204622/2000</f>
        <v>12.118714539876001</v>
      </c>
      <c r="E9" s="39">
        <f t="shared" si="0"/>
        <v>4026.7082145398754</v>
      </c>
      <c r="F9" s="39">
        <f t="shared" si="1"/>
        <v>2829.0393881243926</v>
      </c>
      <c r="G9" s="77">
        <f>((682.816496+31.632+104.014557))*(2.204622/2)</f>
        <v>902.20082641548299</v>
      </c>
      <c r="H9" s="39">
        <f t="shared" si="2"/>
        <v>3731.2402145398755</v>
      </c>
      <c r="I9" s="77">
        <f>266.814+28.654</f>
        <v>295.46800000000002</v>
      </c>
    </row>
    <row r="10" spans="1:9">
      <c r="A10" t="s">
        <v>189</v>
      </c>
      <c r="B10" s="76">
        <f t="shared" ref="B10:B19" si="3">+I9</f>
        <v>295.46800000000002</v>
      </c>
      <c r="C10" s="76">
        <f>3604.53275+283.0072</f>
        <v>3887.5399499999999</v>
      </c>
      <c r="D10" s="76">
        <f>(6437.678+2223+1298.018)*2.204622/2000</f>
        <v>10.977580146456001</v>
      </c>
      <c r="E10" s="39">
        <f t="shared" si="0"/>
        <v>4193.9855301464559</v>
      </c>
      <c r="F10" s="39">
        <f t="shared" si="1"/>
        <v>3009.3667435990637</v>
      </c>
      <c r="G10" s="77">
        <f>((584.639907+9.653+97.878165))*(2.204622/2)</f>
        <v>762.98778654739203</v>
      </c>
      <c r="H10" s="39">
        <f t="shared" si="2"/>
        <v>3772.354530146456</v>
      </c>
      <c r="I10" s="77">
        <f>380.865+40.766</f>
        <v>421.63100000000003</v>
      </c>
    </row>
    <row r="11" spans="1:9">
      <c r="A11" t="s">
        <v>190</v>
      </c>
      <c r="B11" s="76">
        <f t="shared" si="3"/>
        <v>421.63100000000003</v>
      </c>
      <c r="C11" s="76">
        <f>3515.10339+276.07502</f>
        <v>3791.1784100000004</v>
      </c>
      <c r="D11" s="76">
        <f>(6022.254+1776+1092.036)*2.204622/2000</f>
        <v>9.7998644601900011</v>
      </c>
      <c r="E11" s="39">
        <f t="shared" si="0"/>
        <v>4222.609274460191</v>
      </c>
      <c r="F11" s="39">
        <f t="shared" si="1"/>
        <v>3096.5572079297381</v>
      </c>
      <c r="G11" s="77">
        <f>((632.982622+2.539+125.322701))*(2.204622/2)</f>
        <v>838.68706653045308</v>
      </c>
      <c r="H11" s="39">
        <f t="shared" si="2"/>
        <v>3935.2442744601913</v>
      </c>
      <c r="I11" s="77">
        <f>259.496+27.869</f>
        <v>287.36500000000001</v>
      </c>
    </row>
    <row r="12" spans="1:9">
      <c r="A12" t="s">
        <v>191</v>
      </c>
      <c r="B12" s="76">
        <f t="shared" si="3"/>
        <v>287.36500000000001</v>
      </c>
      <c r="C12" s="76">
        <f>3223.9013+249.76185</f>
        <v>3473.6631499999999</v>
      </c>
      <c r="D12" s="76">
        <f>(6015.809+2334+2573.124)*2.204622/2000</f>
        <v>12.040469198163002</v>
      </c>
      <c r="E12" s="39">
        <f t="shared" si="0"/>
        <v>3773.0686191981631</v>
      </c>
      <c r="F12" s="39">
        <f t="shared" si="1"/>
        <v>2528.6396734961863</v>
      </c>
      <c r="G12" s="77">
        <f>((686.266975+2.15+139.950832))*(2.204622/2)</f>
        <v>913.11894570197705</v>
      </c>
      <c r="H12" s="39">
        <f t="shared" si="2"/>
        <v>3441.7586191981632</v>
      </c>
      <c r="I12" s="77">
        <f>306.554+24.756</f>
        <v>331.30999999999995</v>
      </c>
    </row>
    <row r="13" spans="1:9">
      <c r="A13" t="s">
        <v>192</v>
      </c>
      <c r="B13" s="76">
        <f t="shared" si="3"/>
        <v>331.30999999999995</v>
      </c>
      <c r="C13" s="76">
        <f>3428.23247+272.87347</f>
        <v>3701.1059399999999</v>
      </c>
      <c r="D13" s="76">
        <f>(5798.892+2406+1554.696)*2.204622/2000</f>
        <v>10.758101207868</v>
      </c>
      <c r="E13" s="39">
        <f t="shared" si="0"/>
        <v>4043.174041207868</v>
      </c>
      <c r="F13" s="39">
        <f t="shared" si="1"/>
        <v>2849.3586140572461</v>
      </c>
      <c r="G13" s="77">
        <f>((590.659488+7.91+125.716514))*(2.204622/2)</f>
        <v>798.38842715062196</v>
      </c>
      <c r="H13" s="39">
        <f t="shared" si="2"/>
        <v>3647.7470412078678</v>
      </c>
      <c r="I13" s="77">
        <f>359.669+35.758</f>
        <v>395.42699999999996</v>
      </c>
    </row>
    <row r="14" spans="1:9">
      <c r="A14" t="s">
        <v>193</v>
      </c>
      <c r="B14" s="76">
        <f t="shared" si="3"/>
        <v>395.42699999999996</v>
      </c>
      <c r="C14" s="76">
        <f>3245.8437+254.80026</f>
        <v>3500.6439599999999</v>
      </c>
      <c r="D14" s="76">
        <f>(7784.718+2514+2158.008)*2.204622/2000</f>
        <v>13.731186093786002</v>
      </c>
      <c r="E14" s="39">
        <f t="shared" si="0"/>
        <v>3909.8021460937862</v>
      </c>
      <c r="F14" s="39">
        <f t="shared" si="1"/>
        <v>2712.829971547375</v>
      </c>
      <c r="G14" s="77">
        <f>((625.771284+6.087+145.624817))*(2.204622/2)</f>
        <v>857.02817454641104</v>
      </c>
      <c r="H14" s="39">
        <f t="shared" si="2"/>
        <v>3569.8581460937862</v>
      </c>
      <c r="I14" s="77">
        <f>304.583+35.361</f>
        <v>339.94400000000002</v>
      </c>
    </row>
    <row r="15" spans="1:9">
      <c r="A15" t="s">
        <v>200</v>
      </c>
      <c r="B15" s="76">
        <f t="shared" si="3"/>
        <v>339.94400000000002</v>
      </c>
      <c r="C15" s="76">
        <f>3366.8766+266.8909</f>
        <v>3633.7674999999999</v>
      </c>
      <c r="D15" s="76">
        <f>(7738+2535+1834.332)*2.204622/2000</f>
        <v>13.346045244252</v>
      </c>
      <c r="E15" s="39">
        <f t="shared" si="0"/>
        <v>3987.0575452442517</v>
      </c>
      <c r="F15" s="39">
        <f t="shared" si="1"/>
        <v>2830.0320771549846</v>
      </c>
      <c r="G15" s="77">
        <f>((563.135399+9.306+84.352798))*(2.204622/2)</f>
        <v>723.99146808926707</v>
      </c>
      <c r="H15" s="39">
        <f t="shared" si="2"/>
        <v>3554.0235452442516</v>
      </c>
      <c r="I15" s="77">
        <f>388.197+44.837</f>
        <v>433.03399999999999</v>
      </c>
    </row>
    <row r="16" spans="1:9">
      <c r="A16" t="s">
        <v>194</v>
      </c>
      <c r="B16" s="76">
        <f t="shared" si="3"/>
        <v>433.03399999999999</v>
      </c>
      <c r="C16" s="76">
        <f>3098.01928+254.25166</f>
        <v>3352.2709399999999</v>
      </c>
      <c r="D16" s="76">
        <f>(7300.966+2104+1422.621)*2.204622/2000</f>
        <v>11.935368253557</v>
      </c>
      <c r="E16" s="39">
        <f t="shared" si="0"/>
        <v>3797.240308253557</v>
      </c>
      <c r="F16" s="39">
        <f t="shared" si="1"/>
        <v>2524.8626547604813</v>
      </c>
      <c r="G16" s="77">
        <f>((594.908585+15.117+159.349531))*(2.204622/2)</f>
        <v>848.09065349307593</v>
      </c>
      <c r="H16" s="39">
        <f t="shared" si="2"/>
        <v>3372.9533082535572</v>
      </c>
      <c r="I16" s="77">
        <f>379.424+44.863</f>
        <v>424.28699999999998</v>
      </c>
    </row>
    <row r="17" spans="1:9">
      <c r="A17" t="s">
        <v>195</v>
      </c>
      <c r="B17" s="76">
        <f t="shared" si="3"/>
        <v>424.28699999999998</v>
      </c>
      <c r="C17" s="76">
        <f>3072.3696+243.9096</f>
        <v>3316.2791999999999</v>
      </c>
      <c r="D17" s="76">
        <f>(6877.055+1111+995.184)*2.204622/2000</f>
        <v>9.9023231653290011</v>
      </c>
      <c r="E17" s="39">
        <f t="shared" si="0"/>
        <v>3750.4685231653289</v>
      </c>
      <c r="F17" s="39">
        <f t="shared" si="1"/>
        <v>2703.5052122596549</v>
      </c>
      <c r="G17" s="77">
        <f>((553.074368+29.929+97.032766))*(2.204622/2)</f>
        <v>749.61131090567415</v>
      </c>
      <c r="H17" s="39">
        <f t="shared" si="2"/>
        <v>3453.116523165329</v>
      </c>
      <c r="I17" s="77">
        <f>268.155+29.197</f>
        <v>297.35199999999998</v>
      </c>
    </row>
    <row r="18" spans="1:9">
      <c r="A18" t="s">
        <v>205</v>
      </c>
      <c r="B18" s="76">
        <f t="shared" si="3"/>
        <v>297.35199999999998</v>
      </c>
      <c r="C18" s="76">
        <f>2821.738+230.64505</f>
        <v>3052.3830499999999</v>
      </c>
      <c r="D18" s="76">
        <f>(6123.554+1972+1883.773)*2.204622/2000</f>
        <v>11.000321924696999</v>
      </c>
      <c r="E18" s="39">
        <f t="shared" si="0"/>
        <v>3360.7353719246967</v>
      </c>
      <c r="F18" s="39">
        <f t="shared" si="1"/>
        <v>2365.0915341430568</v>
      </c>
      <c r="G18" s="77">
        <f>((440.510518+3.928+82.118722))*(2.204622/2)</f>
        <v>580.42983778164</v>
      </c>
      <c r="H18" s="39">
        <f t="shared" si="2"/>
        <v>2945.5213719246967</v>
      </c>
      <c r="I18" s="77">
        <f>375.852+39.362</f>
        <v>415.214</v>
      </c>
    </row>
    <row r="19" spans="1:9">
      <c r="A19" t="s">
        <v>186</v>
      </c>
      <c r="B19" s="76">
        <f t="shared" si="3"/>
        <v>415.214</v>
      </c>
      <c r="C19" s="76">
        <f>2772.8303+223.4933</f>
        <v>2996.3236000000002</v>
      </c>
      <c r="D19" s="76">
        <f>(6717.858+2063+2662.006)*2.204622/2000</f>
        <v>12.613594858703999</v>
      </c>
      <c r="E19" s="39">
        <f t="shared" si="0"/>
        <v>3424.151194858704</v>
      </c>
      <c r="F19" s="39">
        <f t="shared" si="1"/>
        <v>2571.979750845624</v>
      </c>
      <c r="G19" s="77">
        <f>((404.991459+14.273+87.241821))*(2.204622/2)</f>
        <v>558.32744401308014</v>
      </c>
      <c r="H19" s="39">
        <f t="shared" si="2"/>
        <v>3130.307194858704</v>
      </c>
      <c r="I19" s="77">
        <f>259.886+33.958</f>
        <v>293.84400000000005</v>
      </c>
    </row>
    <row r="20" spans="1:9">
      <c r="A20" s="38" t="s">
        <v>354</v>
      </c>
      <c r="B20" s="38"/>
      <c r="C20" s="76">
        <f>SUM(C8:C19)</f>
        <v>42284.076460000004</v>
      </c>
      <c r="D20" s="76">
        <f>SUM(D8:D19)</f>
        <v>140.62193001265501</v>
      </c>
      <c r="E20" s="76">
        <f>B8+C20+D20</f>
        <v>42767.667390012655</v>
      </c>
      <c r="F20" s="77">
        <f>SUM(F8:F19)</f>
        <v>33231.855537786003</v>
      </c>
      <c r="G20" s="77">
        <f>SUM(G8:G19)</f>
        <v>9241.9678522266495</v>
      </c>
      <c r="H20" s="77">
        <f>SUM(H8:H19)</f>
        <v>42473.823390012658</v>
      </c>
      <c r="I20" s="39"/>
    </row>
    <row r="21" spans="1:9">
      <c r="A21" t="s">
        <v>411</v>
      </c>
      <c r="B21" s="38"/>
      <c r="C21" s="76"/>
      <c r="D21" s="76"/>
      <c r="E21" s="76"/>
      <c r="F21" s="76"/>
      <c r="G21" s="76"/>
      <c r="H21" s="76"/>
      <c r="I21" s="77"/>
    </row>
    <row r="22" spans="1:9">
      <c r="A22" t="s">
        <v>187</v>
      </c>
      <c r="B22" s="76">
        <f>+I19</f>
        <v>293.84400000000005</v>
      </c>
      <c r="C22" s="76">
        <f>3267.43129+252.01493</f>
        <v>3519.4462199999998</v>
      </c>
      <c r="D22" s="76">
        <f>(5799.907+2280+168.321)*2.204622/2000</f>
        <v>9.0921124549080012</v>
      </c>
      <c r="E22" s="39">
        <f t="shared" ref="E22:E33" si="4">B22+C22+D22</f>
        <v>3822.382332454908</v>
      </c>
      <c r="F22" s="39">
        <f t="shared" ref="F22:F33" si="5">H22-G22</f>
        <v>2780.1005339050562</v>
      </c>
      <c r="G22" s="77">
        <f>((478.22002+3.343+126.473912))*(2.204622/2)</f>
        <v>670.245798549852</v>
      </c>
      <c r="H22" s="39">
        <f t="shared" ref="H22:H33" si="6">E22-I22</f>
        <v>3450.346332454908</v>
      </c>
      <c r="I22" s="77">
        <f>335.488+36.548</f>
        <v>372.036</v>
      </c>
    </row>
    <row r="23" spans="1:9">
      <c r="A23" t="s">
        <v>188</v>
      </c>
      <c r="B23" s="76">
        <f>+I22</f>
        <v>372.036</v>
      </c>
      <c r="C23" s="76">
        <f>3158.033+255.442</f>
        <v>3413.4749999999999</v>
      </c>
      <c r="D23" s="76">
        <f>(4862.172+1859+513.416)*2.204622/2000</f>
        <v>7.9747659328680003</v>
      </c>
      <c r="E23" s="39">
        <f t="shared" si="4"/>
        <v>3793.4857659328682</v>
      </c>
      <c r="F23" s="39">
        <f t="shared" si="5"/>
        <v>2401.0978619448092</v>
      </c>
      <c r="G23" s="77">
        <f>((611.447686+7.956+99.318983))*(2.204622/2)</f>
        <v>792.255903988059</v>
      </c>
      <c r="H23" s="39">
        <f t="shared" si="6"/>
        <v>3193.3537659328681</v>
      </c>
      <c r="I23" s="77">
        <f>543.932+56.2</f>
        <v>600.13200000000006</v>
      </c>
    </row>
    <row r="24" spans="1:9">
      <c r="A24" t="s">
        <v>189</v>
      </c>
      <c r="B24" s="76">
        <f t="shared" ref="B24:B33" si="7">+I23</f>
        <v>600.13200000000006</v>
      </c>
      <c r="C24" s="76">
        <f>3101.79875+244.15355</f>
        <v>3345.9522999999999</v>
      </c>
      <c r="D24" s="76">
        <f>(5711.755+2422+844.082)*2.204622/2000</f>
        <v>9.8963684813070003</v>
      </c>
      <c r="E24" s="39">
        <f t="shared" si="4"/>
        <v>3955.980668481307</v>
      </c>
      <c r="F24" s="39">
        <f t="shared" si="5"/>
        <v>2922.8361538259824</v>
      </c>
      <c r="G24" s="77">
        <f>((462.315357+19.782+79.664718))*(2.204622/2)</f>
        <v>619.23651465532498</v>
      </c>
      <c r="H24" s="39">
        <f t="shared" si="6"/>
        <v>3542.0726684813071</v>
      </c>
      <c r="I24" s="77">
        <f>372.337+41.571</f>
        <v>413.90800000000002</v>
      </c>
    </row>
    <row r="25" spans="1:9">
      <c r="A25" t="s">
        <v>190</v>
      </c>
      <c r="B25" s="76">
        <f t="shared" si="7"/>
        <v>413.90800000000002</v>
      </c>
      <c r="C25" s="76">
        <f>3184.5717+254.61388</f>
        <v>3439.1855799999998</v>
      </c>
      <c r="D25" s="76">
        <f>(3280.341+1707+1036.079)*2.204622/2000</f>
        <v>6.6396821236200001</v>
      </c>
      <c r="E25" s="39">
        <f t="shared" si="4"/>
        <v>3859.7332621236196</v>
      </c>
      <c r="F25" s="39">
        <f t="shared" si="5"/>
        <v>2537.5555986505647</v>
      </c>
      <c r="G25" s="77">
        <f>((675.293541+8.295+111.957964))*(2.204622/2)</f>
        <v>876.93966347305502</v>
      </c>
      <c r="H25" s="39">
        <f t="shared" si="6"/>
        <v>3414.4952621236198</v>
      </c>
      <c r="I25" s="77">
        <f>400.217+45.021</f>
        <v>445.238</v>
      </c>
    </row>
    <row r="26" spans="1:9">
      <c r="A26" t="s">
        <v>191</v>
      </c>
      <c r="B26" s="76">
        <f t="shared" si="7"/>
        <v>445.238</v>
      </c>
      <c r="C26" s="76">
        <f>2972.2+230.916</f>
        <v>3203.116</v>
      </c>
      <c r="D26" s="76">
        <f>(3516.779+1724+123.246)*2.204622/2000</f>
        <v>5.9128237617750008</v>
      </c>
      <c r="E26" s="39">
        <f t="shared" si="4"/>
        <v>3654.266823761775</v>
      </c>
      <c r="F26" s="39">
        <f t="shared" si="5"/>
        <v>2497.8638813801226</v>
      </c>
      <c r="G26" s="77">
        <f>((564.409067+6.434+81.747665))*(2.204622/2)</f>
        <v>719.35794238165204</v>
      </c>
      <c r="H26" s="39">
        <f t="shared" si="6"/>
        <v>3217.2218237617749</v>
      </c>
      <c r="I26" s="77">
        <f>393.1+43.945</f>
        <v>437.04500000000002</v>
      </c>
    </row>
    <row r="27" spans="1:9">
      <c r="A27" t="s">
        <v>192</v>
      </c>
      <c r="B27" s="76">
        <f t="shared" si="7"/>
        <v>437.04500000000002</v>
      </c>
      <c r="C27" s="76">
        <f>3171+253.799</f>
        <v>3424.799</v>
      </c>
      <c r="D27" s="76">
        <f>(6267.251+2012+529.749)*2.204622/2000</f>
        <v>9.7102575990000002</v>
      </c>
      <c r="E27" s="39">
        <f t="shared" si="4"/>
        <v>3871.5542575990003</v>
      </c>
      <c r="F27" s="39">
        <f t="shared" si="5"/>
        <v>2710.3518114791964</v>
      </c>
      <c r="G27" s="77">
        <f>((567.758833+5.071+153.343131))*(2.204622/2)</f>
        <v>800.46844611980396</v>
      </c>
      <c r="H27" s="39">
        <f t="shared" si="6"/>
        <v>3510.8202575990003</v>
      </c>
      <c r="I27" s="77">
        <f>313+47.734</f>
        <v>360.73399999999998</v>
      </c>
    </row>
    <row r="28" spans="1:9">
      <c r="A28" t="s">
        <v>193</v>
      </c>
      <c r="B28" s="76">
        <f t="shared" si="7"/>
        <v>360.73399999999998</v>
      </c>
      <c r="C28" s="76">
        <f>3092.5+243.4</f>
        <v>3335.9</v>
      </c>
      <c r="D28" s="76">
        <f>(4578.88+1915+316.826)*2.204622/2000</f>
        <v>7.5075161415660006</v>
      </c>
      <c r="E28" s="39">
        <f t="shared" si="4"/>
        <v>3704.1415161415662</v>
      </c>
      <c r="F28" s="39">
        <f t="shared" si="5"/>
        <v>2422.3890670421315</v>
      </c>
      <c r="G28" s="77">
        <f>((654.41196+9.797+115.564125))*(2.204622/2)</f>
        <v>859.55244909943508</v>
      </c>
      <c r="H28" s="39">
        <f t="shared" si="6"/>
        <v>3281.9415161415664</v>
      </c>
      <c r="I28" s="77">
        <f>375.9+46.3</f>
        <v>422.2</v>
      </c>
    </row>
    <row r="29" spans="1:9">
      <c r="A29" t="s">
        <v>200</v>
      </c>
      <c r="B29" s="76">
        <f t="shared" si="7"/>
        <v>422.2</v>
      </c>
      <c r="C29" s="76">
        <f>3245+255.4</f>
        <v>3500.4</v>
      </c>
      <c r="D29" s="76">
        <f>(4413.963+1525+576.704)*2.204622/2000</f>
        <v>7.1822914064369998</v>
      </c>
      <c r="E29" s="39">
        <f t="shared" si="4"/>
        <v>3929.7822914064368</v>
      </c>
      <c r="F29" s="39">
        <f t="shared" si="5"/>
        <v>2607.373871881563</v>
      </c>
      <c r="G29" s="77">
        <f>((611.364439+10.367+54.491895))*(2.204622/2)</f>
        <v>745.40841952487392</v>
      </c>
      <c r="H29" s="39">
        <f t="shared" si="6"/>
        <v>3352.7822914064368</v>
      </c>
      <c r="I29" s="77">
        <f>517.2+59.8</f>
        <v>577</v>
      </c>
    </row>
    <row r="30" spans="1:9">
      <c r="A30" t="s">
        <v>194</v>
      </c>
      <c r="B30" s="76">
        <f t="shared" si="7"/>
        <v>577</v>
      </c>
      <c r="C30" s="76">
        <f>3082.209+241.001</f>
        <v>3323.21</v>
      </c>
      <c r="D30" s="76">
        <f>(3672.476+952+495.243)*2.204622/2000</f>
        <v>5.6435225706090018</v>
      </c>
      <c r="E30" s="39">
        <f t="shared" si="4"/>
        <v>3905.8535225706091</v>
      </c>
      <c r="F30" s="39">
        <f t="shared" si="5"/>
        <v>2514.5244600143051</v>
      </c>
      <c r="G30" s="77">
        <f>((768.743109+24.765+81.936355))*(2.204622/2)</f>
        <v>965.01206255630404</v>
      </c>
      <c r="H30" s="39">
        <f t="shared" si="6"/>
        <v>3479.5365225706091</v>
      </c>
      <c r="I30" s="77">
        <f>385.917+40.4</f>
        <v>426.31699999999995</v>
      </c>
    </row>
    <row r="31" spans="1:9">
      <c r="A31" t="s">
        <v>195</v>
      </c>
      <c r="B31" s="76">
        <f t="shared" si="7"/>
        <v>426.31699999999995</v>
      </c>
      <c r="C31" s="76">
        <f>2836.244+230.471</f>
        <v>3066.7150000000001</v>
      </c>
      <c r="D31" s="76">
        <f>(4297.567+1965+411.382)*2.204622/2000</f>
        <v>7.3567673961390003</v>
      </c>
      <c r="E31" s="39">
        <f t="shared" si="4"/>
        <v>3500.388767396139</v>
      </c>
      <c r="F31" s="39">
        <f t="shared" si="5"/>
        <v>2539.0878538352108</v>
      </c>
      <c r="G31" s="77">
        <f>((472.871369+18.307+82.971679))*(2.204622/2)</f>
        <v>632.89191356092795</v>
      </c>
      <c r="H31" s="39">
        <f t="shared" si="6"/>
        <v>3171.9797673961389</v>
      </c>
      <c r="I31" s="77">
        <f>298.821+29.588</f>
        <v>328.40900000000005</v>
      </c>
    </row>
    <row r="32" spans="1:9">
      <c r="A32" t="s">
        <v>205</v>
      </c>
      <c r="B32" s="76">
        <f t="shared" si="7"/>
        <v>328.40900000000005</v>
      </c>
      <c r="C32" s="76">
        <f>2630.7+216</f>
        <v>2846.7</v>
      </c>
      <c r="D32" s="76">
        <f>(3540.812+1534+459.515)*2.204622/2000</f>
        <v>6.100549529697</v>
      </c>
      <c r="E32" s="39">
        <f t="shared" si="4"/>
        <v>3181.2095495296971</v>
      </c>
      <c r="F32" s="39">
        <f t="shared" si="5"/>
        <v>2454.1814414951709</v>
      </c>
      <c r="G32" s="77">
        <f>((315.506679+6.527+50.028387))*(2.204622/2)</f>
        <v>410.12810803452601</v>
      </c>
      <c r="H32" s="39">
        <f t="shared" si="6"/>
        <v>2864.3095495296971</v>
      </c>
      <c r="I32" s="77">
        <f>283.1+33.8</f>
        <v>316.90000000000003</v>
      </c>
    </row>
    <row r="33" spans="1:9">
      <c r="A33" t="s">
        <v>186</v>
      </c>
      <c r="B33" s="76">
        <f t="shared" si="7"/>
        <v>316.90000000000003</v>
      </c>
      <c r="C33" s="76">
        <f>2482.657+200.877</f>
        <v>2683.5340000000001</v>
      </c>
      <c r="D33" s="76">
        <f>(2696.115+1527+48.089)*2.204622/2000</f>
        <v>4.7081951524440004</v>
      </c>
      <c r="E33" s="39">
        <f t="shared" si="4"/>
        <v>3005.1421951524444</v>
      </c>
      <c r="F33" s="39">
        <f t="shared" si="5"/>
        <v>2364.8412577432628</v>
      </c>
      <c r="G33" s="77">
        <f>((282.368791+11.853+73.705171))*(2.204622/2)</f>
        <v>405.56993740918205</v>
      </c>
      <c r="H33" s="39">
        <f t="shared" si="6"/>
        <v>2770.4111951524446</v>
      </c>
      <c r="I33" s="77">
        <f>206.808+27.923</f>
        <v>234.73099999999999</v>
      </c>
    </row>
    <row r="34" spans="1:9">
      <c r="A34" s="38" t="s">
        <v>354</v>
      </c>
      <c r="B34" s="38"/>
      <c r="C34" s="76">
        <f>SUM(C22:C33)</f>
        <v>39102.433099999995</v>
      </c>
      <c r="D34" s="76">
        <f>SUM(D22:D33)</f>
        <v>87.724852550370031</v>
      </c>
      <c r="E34" s="76">
        <f>B22+C34+D34</f>
        <v>39484.001952550359</v>
      </c>
      <c r="F34" s="77">
        <f>SUM(F22:F33)</f>
        <v>30752.203793197375</v>
      </c>
      <c r="G34" s="77">
        <f>SUM(G22:G33)</f>
        <v>8497.0671593529969</v>
      </c>
      <c r="H34" s="77">
        <f>SUM(H22:H33)</f>
        <v>39249.270952550367</v>
      </c>
      <c r="I34" s="39"/>
    </row>
    <row r="35" spans="1:9">
      <c r="A35" s="107" t="s">
        <v>417</v>
      </c>
      <c r="B35" s="38"/>
      <c r="C35" s="76"/>
      <c r="D35" s="76"/>
      <c r="E35" s="76"/>
      <c r="F35" s="76"/>
      <c r="G35" s="76"/>
      <c r="H35" s="76"/>
      <c r="I35" s="77"/>
    </row>
    <row r="36" spans="1:9">
      <c r="A36" t="s">
        <v>187</v>
      </c>
      <c r="B36" s="76">
        <f>+I33</f>
        <v>234.73099999999999</v>
      </c>
      <c r="C36" s="76">
        <f>3578.656+267</f>
        <v>3845.6559999999999</v>
      </c>
      <c r="D36" s="76">
        <f>(9330.821+1735+55.218)*2.204622/2000</f>
        <v>12.258843621129001</v>
      </c>
      <c r="E36" s="39">
        <f t="shared" ref="E36:E47" si="8">B36+C36+D36</f>
        <v>4092.6458436211287</v>
      </c>
      <c r="F36" s="39">
        <f t="shared" ref="F36:F47" si="9">H36-G36</f>
        <v>2890.8732605172177</v>
      </c>
      <c r="G36" s="77">
        <f>((577.107071+13.622+95.73653))*(2.204622/2)</f>
        <v>756.69858310391101</v>
      </c>
      <c r="H36" s="39">
        <f t="shared" ref="H36:H47" si="10">E36-I36</f>
        <v>3647.5718436211287</v>
      </c>
      <c r="I36" s="77">
        <f>401+44.074</f>
        <v>445.07400000000001</v>
      </c>
    </row>
    <row r="37" spans="1:9">
      <c r="A37" t="s">
        <v>188</v>
      </c>
      <c r="B37" s="76">
        <f>+I36</f>
        <v>445.07400000000001</v>
      </c>
      <c r="C37" s="76">
        <f>3696.36+280.185</f>
        <v>3976.5450000000001</v>
      </c>
      <c r="D37" s="76">
        <f>(3807.985+1708+83.15)*2.204622/2000</f>
        <v>6.1719881009850006</v>
      </c>
      <c r="E37" s="39">
        <f t="shared" si="8"/>
        <v>4427.7909881009846</v>
      </c>
      <c r="F37" s="39">
        <f t="shared" si="9"/>
        <v>2407.1856888049169</v>
      </c>
      <c r="G37" s="77">
        <f>((1147.49778+2.764+113.664008))*(2.204622/2)</f>
        <v>1393.2392992960679</v>
      </c>
      <c r="H37" s="39">
        <f t="shared" si="10"/>
        <v>3800.4249881009846</v>
      </c>
      <c r="I37" s="77">
        <f>569.374+57.992</f>
        <v>627.36599999999999</v>
      </c>
    </row>
    <row r="38" spans="1:9">
      <c r="A38" t="s">
        <v>189</v>
      </c>
      <c r="B38" s="76">
        <f t="shared" ref="B38:B47" si="11">+I37</f>
        <v>627.36599999999999</v>
      </c>
      <c r="C38" s="76">
        <f>3785.027+291.062</f>
        <v>4076.0889999999999</v>
      </c>
      <c r="D38" s="76">
        <f>(6508.166+1943+139.184)*2.204622/2000</f>
        <v>9.4692372988500004</v>
      </c>
      <c r="E38" s="39">
        <f t="shared" si="8"/>
        <v>4712.9242372988501</v>
      </c>
      <c r="F38" s="39">
        <f t="shared" si="9"/>
        <v>2861.5990323501856</v>
      </c>
      <c r="G38" s="77">
        <f>((1030.196141+25.082+108.195874))*(2.204622/2)</f>
        <v>1282.510204948665</v>
      </c>
      <c r="H38" s="39">
        <f t="shared" si="10"/>
        <v>4144.1092372988505</v>
      </c>
      <c r="I38" s="77">
        <f>533.578+35.237</f>
        <v>568.81499999999994</v>
      </c>
    </row>
    <row r="39" spans="1:9">
      <c r="A39" t="s">
        <v>190</v>
      </c>
      <c r="B39" s="76">
        <f t="shared" si="11"/>
        <v>568.81499999999994</v>
      </c>
      <c r="C39" s="76">
        <f>3656.43296+276.80069</f>
        <v>3933.2336500000001</v>
      </c>
      <c r="D39" s="76">
        <f>(13052.96+2267+1229.95)*2.204622/2000</f>
        <v>18.24314784201</v>
      </c>
      <c r="E39" s="39">
        <f t="shared" si="8"/>
        <v>4520.2917978420101</v>
      </c>
      <c r="F39" s="39">
        <f t="shared" si="9"/>
        <v>2389.7699442823678</v>
      </c>
      <c r="G39" s="77">
        <f>((1262.585357+13.519+84.756465))*(2.204622/2)</f>
        <v>1500.091853559642</v>
      </c>
      <c r="H39" s="39">
        <f t="shared" si="10"/>
        <v>3889.8617978420098</v>
      </c>
      <c r="I39" s="77">
        <f>585.82+44.61</f>
        <v>630.43000000000006</v>
      </c>
    </row>
    <row r="40" spans="1:9">
      <c r="A40" t="s">
        <v>191</v>
      </c>
      <c r="B40" s="76">
        <f t="shared" si="11"/>
        <v>630.43000000000006</v>
      </c>
      <c r="C40" s="76">
        <f>3375.214+260.295</f>
        <v>3635.509</v>
      </c>
      <c r="D40" s="76">
        <f>(17818.894+2064+137.16)*2.204622/2000</f>
        <v>22.068325744794002</v>
      </c>
      <c r="E40" s="39">
        <f t="shared" si="8"/>
        <v>4288.0073257447939</v>
      </c>
      <c r="F40" s="39">
        <f t="shared" si="9"/>
        <v>2253.3381986525264</v>
      </c>
      <c r="G40" s="77">
        <f>((1087.4166535+8.844+112.382939))*(2.204622/2)</f>
        <v>1332.3011270922677</v>
      </c>
      <c r="H40" s="39">
        <f t="shared" si="10"/>
        <v>3585.639325744794</v>
      </c>
      <c r="I40" s="77">
        <f>654.224+48.144</f>
        <v>702.36800000000005</v>
      </c>
    </row>
    <row r="41" spans="1:9">
      <c r="A41" t="s">
        <v>192</v>
      </c>
      <c r="B41" s="76">
        <f t="shared" si="11"/>
        <v>702.36800000000005</v>
      </c>
      <c r="C41" s="76">
        <f>3415.26438+264.84859</f>
        <v>3680.1129700000001</v>
      </c>
      <c r="D41" s="76">
        <f>(11140.661+2301+986.65)*2.204622/2000</f>
        <v>15.904485926721</v>
      </c>
      <c r="E41" s="39">
        <f t="shared" si="8"/>
        <v>4398.3854559267211</v>
      </c>
      <c r="F41" s="39">
        <f t="shared" si="9"/>
        <v>2676.8390445672248</v>
      </c>
      <c r="G41" s="77">
        <f>((1148.94249+8.929+75.681846))*(2.204622/2)</f>
        <v>1359.759411359496</v>
      </c>
      <c r="H41" s="39">
        <f t="shared" si="10"/>
        <v>4036.5984559267208</v>
      </c>
      <c r="I41" s="77">
        <f>328.144+33.643</f>
        <v>361.78700000000003</v>
      </c>
    </row>
    <row r="42" spans="1:9">
      <c r="A42" t="s">
        <v>193</v>
      </c>
      <c r="B42" s="76">
        <f t="shared" si="11"/>
        <v>361.78700000000003</v>
      </c>
      <c r="C42" s="76">
        <f>2981.51176+230.30494</f>
        <v>3211.8166999999999</v>
      </c>
      <c r="D42" s="76">
        <f>(3301.123+2722+4120.029)*2.204622/2000</f>
        <v>11.180908024272002</v>
      </c>
      <c r="E42" s="39">
        <f t="shared" si="8"/>
        <v>3584.7846080242716</v>
      </c>
      <c r="F42" s="39">
        <f t="shared" si="9"/>
        <v>2437.4971793552309</v>
      </c>
      <c r="G42" s="77">
        <f>((640.480156+13.766+117.997275))*(2.204622/2)</f>
        <v>851.25242866904091</v>
      </c>
      <c r="H42" s="39">
        <f t="shared" si="10"/>
        <v>3288.7496080242718</v>
      </c>
      <c r="I42" s="77">
        <f>265.076+30.959</f>
        <v>296.03500000000003</v>
      </c>
    </row>
    <row r="43" spans="1:9">
      <c r="A43" t="s">
        <v>200</v>
      </c>
      <c r="B43" s="76">
        <f t="shared" si="11"/>
        <v>296.03500000000003</v>
      </c>
      <c r="C43" s="76">
        <f>2921.0122+223.45025</f>
        <v>3144.46245</v>
      </c>
      <c r="D43" s="76">
        <f>(3892.835+2338+163.914)*2.204622/2000</f>
        <v>7.049002164939</v>
      </c>
      <c r="E43" s="39">
        <f t="shared" si="8"/>
        <v>3447.5464521649387</v>
      </c>
      <c r="F43" s="39">
        <f t="shared" si="9"/>
        <v>2390.3807663674379</v>
      </c>
      <c r="G43" s="77">
        <f>((474.32093+3.322+57.132361))*(2.204622/2)</f>
        <v>589.48868579750092</v>
      </c>
      <c r="H43" s="39">
        <f t="shared" si="10"/>
        <v>2979.8694521649386</v>
      </c>
      <c r="I43" s="77">
        <f>423.871+43.806</f>
        <v>467.67699999999996</v>
      </c>
    </row>
    <row r="44" spans="1:9">
      <c r="A44" t="s">
        <v>194</v>
      </c>
      <c r="B44" s="76">
        <f t="shared" si="11"/>
        <v>467.67699999999996</v>
      </c>
      <c r="C44" s="76">
        <f>2839.78764+216.92932</f>
        <v>3056.7169600000002</v>
      </c>
      <c r="D44" s="76">
        <f>(2032.182+1026+61.794)*2.204622/2000</f>
        <v>3.439183864536</v>
      </c>
      <c r="E44" s="39">
        <f t="shared" si="8"/>
        <v>3527.8331438645364</v>
      </c>
      <c r="F44" s="39">
        <f t="shared" si="9"/>
        <v>2626.7552267324795</v>
      </c>
      <c r="G44" s="77">
        <f>((438.486583+3.889+63.345504))*(2.204622/2)</f>
        <v>557.46191713205701</v>
      </c>
      <c r="H44" s="39">
        <f t="shared" si="10"/>
        <v>3184.2171438645364</v>
      </c>
      <c r="I44" s="77">
        <f>307.603+36.013</f>
        <v>343.61599999999999</v>
      </c>
    </row>
    <row r="45" spans="1:9">
      <c r="A45" t="s">
        <v>195</v>
      </c>
      <c r="B45" s="76">
        <f t="shared" si="11"/>
        <v>343.61599999999999</v>
      </c>
      <c r="C45" s="76">
        <f>2837.93716+218.17026</f>
        <v>3056.1074199999998</v>
      </c>
      <c r="D45" s="76">
        <f>(5996.836+1860+321.137)*2.204622/2000</f>
        <v>9.0146695956029994</v>
      </c>
      <c r="E45" s="39">
        <f t="shared" si="8"/>
        <v>3408.738089595603</v>
      </c>
      <c r="F45" s="39">
        <f t="shared" si="9"/>
        <v>2496.4924356280967</v>
      </c>
      <c r="G45" s="77">
        <f>((382.033545+10.641+49.334701))*(2.204622/2)</f>
        <v>487.23165396750602</v>
      </c>
      <c r="H45" s="39">
        <f t="shared" si="10"/>
        <v>2983.7240895956029</v>
      </c>
      <c r="I45" s="77">
        <f>386.502+38.512</f>
        <v>425.01400000000001</v>
      </c>
    </row>
    <row r="46" spans="1:9">
      <c r="A46" t="s">
        <v>205</v>
      </c>
      <c r="B46" s="76">
        <f t="shared" si="11"/>
        <v>425.01400000000001</v>
      </c>
      <c r="C46" s="76">
        <f>2806.1809+224.409</f>
        <v>3030.5898999999999</v>
      </c>
      <c r="D46" s="76">
        <f>(9593.463+2212+7915.844)*2.204622/2000</f>
        <v>21.739013640477001</v>
      </c>
      <c r="E46" s="39">
        <f t="shared" si="8"/>
        <v>3477.342913640477</v>
      </c>
      <c r="F46" s="39">
        <f t="shared" si="9"/>
        <v>2629.5331658086416</v>
      </c>
      <c r="G46" s="77">
        <f>((448.125421+10.071+63.705064))*(2.204622/2)</f>
        <v>575.29774783183507</v>
      </c>
      <c r="H46" s="39">
        <f t="shared" si="10"/>
        <v>3204.8309136404769</v>
      </c>
      <c r="I46" s="77">
        <f>241.288+31.224</f>
        <v>272.512</v>
      </c>
    </row>
    <row r="47" spans="1:9">
      <c r="A47" t="s">
        <v>186</v>
      </c>
      <c r="B47" s="76">
        <f t="shared" si="11"/>
        <v>272.512</v>
      </c>
      <c r="C47" s="76">
        <f>2836.0385+223.6447</f>
        <v>3059.6831999999999</v>
      </c>
      <c r="D47" s="76">
        <f>(14093.621+1906+5287.594)*2.204622/2000</f>
        <v>23.465131253865003</v>
      </c>
      <c r="E47" s="39">
        <f t="shared" si="8"/>
        <v>3355.660331253865</v>
      </c>
      <c r="F47" s="39">
        <f t="shared" si="9"/>
        <v>2579.9710446798667</v>
      </c>
      <c r="G47" s="77">
        <f>((364.731719+9.365+56.031699))*(2.204622/2)</f>
        <v>474.13528657399803</v>
      </c>
      <c r="H47" s="39">
        <f t="shared" si="10"/>
        <v>3054.1063312538649</v>
      </c>
      <c r="I47" s="77">
        <f>273.085+28.469</f>
        <v>301.55399999999997</v>
      </c>
    </row>
    <row r="48" spans="1:9">
      <c r="A48" s="38" t="s">
        <v>354</v>
      </c>
      <c r="B48" s="38"/>
      <c r="C48" s="76">
        <f>SUM(C36:C47)</f>
        <v>41706.522250000002</v>
      </c>
      <c r="D48" s="76">
        <f>SUM(D36:D47)</f>
        <v>160.003937078181</v>
      </c>
      <c r="E48" s="76">
        <f>B36+C48+D48</f>
        <v>42101.257187078183</v>
      </c>
      <c r="F48" s="77">
        <f>SUM(F36:F47)</f>
        <v>30640.234987746193</v>
      </c>
      <c r="G48" s="77">
        <f>SUM(G36:G47)</f>
        <v>11159.468199331988</v>
      </c>
      <c r="H48" s="77">
        <f>SUM(H36:H47)</f>
        <v>41799.703187078187</v>
      </c>
      <c r="I48" s="39"/>
    </row>
    <row r="49" spans="1:9">
      <c r="A49" s="107" t="s">
        <v>420</v>
      </c>
      <c r="B49" s="38"/>
      <c r="C49" s="76"/>
      <c r="D49" s="76"/>
      <c r="E49" s="76"/>
      <c r="F49" s="76"/>
      <c r="G49" s="76"/>
      <c r="H49" s="76"/>
      <c r="I49" s="77"/>
    </row>
    <row r="50" spans="1:9">
      <c r="A50" t="s">
        <v>187</v>
      </c>
      <c r="B50" s="76">
        <f>+I47</f>
        <v>301.55399999999997</v>
      </c>
      <c r="C50" s="76">
        <f>3475.80273+262.26737</f>
        <v>3738.0700999999999</v>
      </c>
      <c r="D50" s="76">
        <f>(9930.223+2377+644.728)*2.204622/2000</f>
        <v>14.277078058760999</v>
      </c>
      <c r="E50" s="39">
        <f t="shared" ref="E50:E61" si="12">B50+C50+D50</f>
        <v>4053.9011780587612</v>
      </c>
      <c r="F50" s="39">
        <f t="shared" ref="F50:F61" si="13">H50-G50</f>
        <v>2803.9630813615072</v>
      </c>
      <c r="G50" s="77">
        <f>((581.892513+8.315+75.128401))*(2.204622/2)</f>
        <v>733.40709669725402</v>
      </c>
      <c r="H50" s="39">
        <f t="shared" ref="H50:H61" si="14">E50-I50</f>
        <v>3537.3701780587612</v>
      </c>
      <c r="I50" s="77">
        <f>471.806+44.725</f>
        <v>516.53099999999995</v>
      </c>
    </row>
    <row r="51" spans="1:9">
      <c r="A51" t="s">
        <v>188</v>
      </c>
      <c r="B51" s="76">
        <f>+I50</f>
        <v>516.53099999999995</v>
      </c>
      <c r="C51" s="76">
        <f>3447.6493+272.3998</f>
        <v>3720.0491000000002</v>
      </c>
      <c r="D51" s="76">
        <f>(9702.118+1997+339.383)*2.204622/2000</f>
        <v>13.270172075811001</v>
      </c>
      <c r="E51" s="39">
        <f t="shared" si="12"/>
        <v>4249.8502720758115</v>
      </c>
      <c r="F51" s="39">
        <f t="shared" si="13"/>
        <v>2723.3759903611253</v>
      </c>
      <c r="G51" s="77">
        <f>((804.493079+11.232+129.663547))*(2.204622/2)</f>
        <v>1042.1122817146859</v>
      </c>
      <c r="H51" s="39">
        <f t="shared" si="14"/>
        <v>3765.4882720758114</v>
      </c>
      <c r="I51" s="77">
        <f>445.037+39.325</f>
        <v>484.36199999999997</v>
      </c>
    </row>
    <row r="52" spans="1:9">
      <c r="A52" t="s">
        <v>189</v>
      </c>
      <c r="B52" s="76">
        <f t="shared" ref="B52:B61" si="15">+I51</f>
        <v>484.36199999999997</v>
      </c>
      <c r="C52" s="76">
        <f>3397.76335+277.7805</f>
        <v>3675.54385</v>
      </c>
      <c r="D52" s="76">
        <f>(10330.299+2239+2482.86)*2.204622/2000</f>
        <v>16.592160439449003</v>
      </c>
      <c r="E52" s="39">
        <f t="shared" si="12"/>
        <v>4176.498010439449</v>
      </c>
      <c r="F52" s="39">
        <f t="shared" si="13"/>
        <v>2767.0337216476373</v>
      </c>
      <c r="G52" s="77">
        <f>((707.680305+16.967+90.699987))*(2.204622/2)</f>
        <v>898.76628879181192</v>
      </c>
      <c r="H52" s="39">
        <f t="shared" si="14"/>
        <v>3665.8000104394491</v>
      </c>
      <c r="I52" s="77">
        <f>473.178+37.52</f>
        <v>510.69799999999998</v>
      </c>
    </row>
    <row r="53" spans="1:9">
      <c r="A53" t="s">
        <v>190</v>
      </c>
      <c r="B53" s="76">
        <f t="shared" si="15"/>
        <v>510.69799999999998</v>
      </c>
      <c r="C53" s="76">
        <f>3298.36+271.099</f>
        <v>3569.4590000000003</v>
      </c>
      <c r="D53" s="76">
        <f>(12279.597+2214+269.321)*2.204622/2000</f>
        <v>16.273326903497999</v>
      </c>
      <c r="E53" s="39">
        <f t="shared" si="12"/>
        <v>4096.4303269034981</v>
      </c>
      <c r="F53" s="39">
        <f t="shared" si="13"/>
        <v>2476.5456944231264</v>
      </c>
      <c r="G53" s="77">
        <f>((967.927585+17.265+76.925667))*(2.204622/2)</f>
        <v>1170.784632480372</v>
      </c>
      <c r="H53" s="39">
        <f t="shared" si="14"/>
        <v>3647.3303269034982</v>
      </c>
      <c r="I53" s="77">
        <f>408.208+40.892</f>
        <v>449.1</v>
      </c>
    </row>
    <row r="54" spans="1:9">
      <c r="A54" t="s">
        <v>191</v>
      </c>
      <c r="B54" s="76">
        <f t="shared" si="15"/>
        <v>449.1</v>
      </c>
      <c r="C54" s="76">
        <f>2889.211+236.939</f>
        <v>3126.1499999999996</v>
      </c>
      <c r="D54" s="76">
        <f>(13443.229+2315+606.302)*2.204622/2000</f>
        <v>18.038802531140998</v>
      </c>
      <c r="E54" s="39">
        <f t="shared" si="12"/>
        <v>3593.2888025311404</v>
      </c>
      <c r="F54" s="39">
        <f t="shared" si="13"/>
        <v>2194.7277542177144</v>
      </c>
      <c r="G54" s="77">
        <f>((775.643585+8.026+61.802381))*(2.204622/2)</f>
        <v>931.97304831342603</v>
      </c>
      <c r="H54" s="39">
        <f t="shared" si="14"/>
        <v>3126.7008025311407</v>
      </c>
      <c r="I54" s="77">
        <f>428.609+37.979</f>
        <v>466.58799999999997</v>
      </c>
    </row>
    <row r="55" spans="1:9">
      <c r="A55" t="s">
        <v>192</v>
      </c>
      <c r="B55" s="76">
        <f t="shared" si="15"/>
        <v>466.58799999999997</v>
      </c>
      <c r="C55" s="76">
        <f>3111.911+259.694</f>
        <v>3371.605</v>
      </c>
      <c r="D55" s="76">
        <f>(11553.316+3327+448.348)*2.204622/2000</f>
        <v>16.896954942504003</v>
      </c>
      <c r="E55" s="39">
        <f t="shared" si="12"/>
        <v>3855.0899549425044</v>
      </c>
      <c r="F55" s="39">
        <f t="shared" si="13"/>
        <v>2655.7529544888635</v>
      </c>
      <c r="G55" s="77">
        <f>((668.207438+22.372+102.482593))*(2.204622/2)</f>
        <v>874.20100045364097</v>
      </c>
      <c r="H55" s="39">
        <f t="shared" si="14"/>
        <v>3529.9539549425044</v>
      </c>
      <c r="I55" s="77">
        <f>294.551+30.585</f>
        <v>325.13599999999997</v>
      </c>
    </row>
    <row r="56" spans="1:9">
      <c r="A56" t="s">
        <v>193</v>
      </c>
      <c r="B56" s="76">
        <f t="shared" si="15"/>
        <v>325.13599999999997</v>
      </c>
      <c r="C56" s="76">
        <f>2873.217+239.721</f>
        <v>3112.9380000000001</v>
      </c>
      <c r="D56" s="76">
        <f>(10232.088+2853+389.238)*2.204622/2000</f>
        <v>14.852897767385999</v>
      </c>
      <c r="E56" s="39">
        <f t="shared" si="12"/>
        <v>3452.926897767386</v>
      </c>
      <c r="F56" s="39">
        <f t="shared" si="13"/>
        <v>2323.4563076678669</v>
      </c>
      <c r="G56" s="77">
        <f>((522.741849+10.232+89.83368))*(2.204622/2)</f>
        <v>686.52759009951899</v>
      </c>
      <c r="H56" s="39">
        <f t="shared" si="14"/>
        <v>3009.9838977673858</v>
      </c>
      <c r="I56" s="77">
        <f>403.992+38.951</f>
        <v>442.94300000000004</v>
      </c>
    </row>
    <row r="57" spans="1:9">
      <c r="A57" t="s">
        <v>200</v>
      </c>
      <c r="B57" s="76">
        <f t="shared" si="15"/>
        <v>442.94300000000004</v>
      </c>
      <c r="C57" s="76">
        <f>2865.776+234.746</f>
        <v>3100.5219999999999</v>
      </c>
      <c r="D57" s="76">
        <f>(9617.155+2757+254.197)*2.204622/2000</f>
        <v>13.920371321472</v>
      </c>
      <c r="E57" s="39">
        <f t="shared" si="12"/>
        <v>3557.3853713214721</v>
      </c>
      <c r="F57" s="39">
        <f t="shared" si="13"/>
        <v>2593.0223224727083</v>
      </c>
      <c r="G57" s="77">
        <f>((447.841521+15.423+71.435803))*(2.204622/2)</f>
        <v>589.40604884876404</v>
      </c>
      <c r="H57" s="39">
        <f t="shared" si="14"/>
        <v>3182.4283713214722</v>
      </c>
      <c r="I57" s="77">
        <f>333.547+41.41</f>
        <v>374.95699999999999</v>
      </c>
    </row>
    <row r="58" spans="1:9">
      <c r="A58" t="s">
        <v>194</v>
      </c>
      <c r="B58" s="76">
        <f t="shared" si="15"/>
        <v>374.95699999999999</v>
      </c>
      <c r="C58" s="76">
        <f>2746.586+226.906</f>
        <v>2973.4919999999997</v>
      </c>
      <c r="D58" s="76">
        <f>(9604.305+2563+444.972)*2.204622/2000</f>
        <v>13.902651672147</v>
      </c>
      <c r="E58" s="39">
        <f t="shared" si="12"/>
        <v>3362.3516516721465</v>
      </c>
      <c r="F58" s="39">
        <f t="shared" si="13"/>
        <v>2569.6409053451584</v>
      </c>
      <c r="G58" s="77">
        <f>((397.016151+8.204+56.003357))*(2.204622/2)</f>
        <v>508.41174632698801</v>
      </c>
      <c r="H58" s="39">
        <f t="shared" si="14"/>
        <v>3078.0526516721466</v>
      </c>
      <c r="I58" s="77">
        <f>256.329+27.97</f>
        <v>284.29899999999998</v>
      </c>
    </row>
    <row r="59" spans="1:9">
      <c r="A59" t="s">
        <v>195</v>
      </c>
      <c r="B59" s="76">
        <f t="shared" si="15"/>
        <v>284.29899999999998</v>
      </c>
      <c r="C59" s="76">
        <f>2857.622+239.432</f>
        <v>3097.0539999999996</v>
      </c>
      <c r="D59" s="76">
        <f>(7486.208+1505+441.838)*2.204622/2000</f>
        <v>10.398150369305998</v>
      </c>
      <c r="E59" s="39">
        <f t="shared" si="12"/>
        <v>3391.7511503693058</v>
      </c>
      <c r="F59" s="39">
        <f t="shared" si="13"/>
        <v>2411.9593755349656</v>
      </c>
      <c r="G59" s="77">
        <f>((436.692722+21.883+47.067218))*(2.204622/2)</f>
        <v>557.37577483433995</v>
      </c>
      <c r="H59" s="39">
        <f t="shared" si="14"/>
        <v>2969.3351503693057</v>
      </c>
      <c r="I59" s="77">
        <f>387.461+34.955</f>
        <v>422.416</v>
      </c>
    </row>
    <row r="60" spans="1:9">
      <c r="A60" t="s">
        <v>205</v>
      </c>
      <c r="B60" s="76">
        <f t="shared" si="15"/>
        <v>422.416</v>
      </c>
      <c r="C60" s="77">
        <v>3001.875</v>
      </c>
      <c r="D60" s="76">
        <f>(10782.674+3118+190.811)*2.204622/2000</f>
        <v>15.533198921835002</v>
      </c>
      <c r="E60" s="39">
        <f t="shared" si="12"/>
        <v>3439.824198921835</v>
      </c>
      <c r="F60" s="39">
        <f t="shared" si="13"/>
        <v>2471.269891543428</v>
      </c>
      <c r="G60" s="77">
        <f>((433.342843+19.612+62.829094))*(2.204622/2)</f>
        <v>568.55430737840709</v>
      </c>
      <c r="H60" s="39">
        <f t="shared" si="14"/>
        <v>3039.824198921835</v>
      </c>
      <c r="I60" s="77">
        <v>400</v>
      </c>
    </row>
    <row r="61" spans="1:9">
      <c r="A61" t="s">
        <v>186</v>
      </c>
      <c r="B61" s="76">
        <f t="shared" si="15"/>
        <v>400</v>
      </c>
      <c r="C61" s="77">
        <v>2764.1724599999998</v>
      </c>
      <c r="D61" s="76">
        <f>(11031.226+3006+204.164)*2.204622/2000</f>
        <v>15.698440852290002</v>
      </c>
      <c r="E61" s="39">
        <f t="shared" si="12"/>
        <v>3179.8709008522897</v>
      </c>
      <c r="F61" s="39">
        <f t="shared" si="13"/>
        <v>2310.1296979683584</v>
      </c>
      <c r="G61" s="77">
        <f>((339.348188+10.756+121.397233))*(2.204622/2)</f>
        <v>519.74120288393112</v>
      </c>
      <c r="H61" s="39">
        <f t="shared" si="14"/>
        <v>2829.8709008522897</v>
      </c>
      <c r="I61" s="77">
        <v>350</v>
      </c>
    </row>
    <row r="62" spans="1:9">
      <c r="A62" s="38" t="s">
        <v>354</v>
      </c>
      <c r="B62" s="38"/>
      <c r="C62" s="76">
        <f>SUM(C50:C61)</f>
        <v>39250.930509999998</v>
      </c>
      <c r="D62" s="76">
        <f>SUM(D50:D61)</f>
        <v>179.6542058556</v>
      </c>
      <c r="E62" s="76">
        <f>B50+C62+D62</f>
        <v>39732.138715855595</v>
      </c>
      <c r="F62" s="77">
        <f>SUM(F50:F61)</f>
        <v>30300.877697032458</v>
      </c>
      <c r="G62" s="77">
        <f>SUM(G50:G61)</f>
        <v>9081.2610188231411</v>
      </c>
      <c r="H62" s="77">
        <f>SUM(H50:H61)</f>
        <v>39382.138715855603</v>
      </c>
      <c r="I62" s="39"/>
    </row>
    <row r="63" spans="1:9">
      <c r="A63" s="107" t="s">
        <v>495</v>
      </c>
      <c r="B63" s="38"/>
      <c r="C63" s="76"/>
      <c r="D63" s="76"/>
      <c r="E63" s="76"/>
      <c r="F63" s="76"/>
      <c r="G63" s="76"/>
      <c r="H63" s="76"/>
      <c r="I63" s="77"/>
    </row>
    <row r="64" spans="1:9">
      <c r="A64" t="s">
        <v>187</v>
      </c>
      <c r="B64" s="76">
        <f>233.715+30.171</f>
        <v>263.88600000000002</v>
      </c>
      <c r="C64" s="76">
        <f>3742.412+258.909</f>
        <v>4001.3209999999999</v>
      </c>
      <c r="D64" s="76">
        <f>(24490.318+2973+4420.437)*2.204622/2000</f>
        <v>35.145813857804995</v>
      </c>
      <c r="E64" s="39">
        <f t="shared" ref="E64:E75" si="16">B64+C64+D64</f>
        <v>4300.3528138578049</v>
      </c>
      <c r="F64" s="77">
        <f t="shared" ref="F64:F75" si="17">H64-G64</f>
        <v>3014.9149684917497</v>
      </c>
      <c r="G64" s="242">
        <f>((655.834691+2.098+150.976814))*(2.204622/2)</f>
        <v>891.66984536605503</v>
      </c>
      <c r="H64" s="39">
        <f t="shared" ref="H64:H75" si="18">E64-I64</f>
        <v>3906.5848138578049</v>
      </c>
      <c r="I64" s="242">
        <f>360.253+33.515</f>
        <v>393.76799999999997</v>
      </c>
    </row>
    <row r="65" spans="1:9">
      <c r="A65" t="s">
        <v>188</v>
      </c>
      <c r="B65" s="76">
        <f>+I64</f>
        <v>393.76799999999997</v>
      </c>
      <c r="C65" s="76">
        <f>3655.75+251.965</f>
        <v>3907.7150000000001</v>
      </c>
      <c r="D65" s="76">
        <f>(23368.643+2935+1353.348)*2.204622/2000</f>
        <v>30.486605406201004</v>
      </c>
      <c r="E65" s="39">
        <f t="shared" si="16"/>
        <v>4331.9696054062015</v>
      </c>
      <c r="F65" s="77">
        <f t="shared" si="17"/>
        <v>2766.6980162055961</v>
      </c>
      <c r="G65" s="242">
        <f>((844.248393+15.814+213.576162))*(2.204622/2)</f>
        <v>1183.4835892006051</v>
      </c>
      <c r="H65" s="39">
        <f t="shared" si="18"/>
        <v>3950.1816054062015</v>
      </c>
      <c r="I65" s="242">
        <f>342.962+38.826</f>
        <v>381.78800000000001</v>
      </c>
    </row>
    <row r="66" spans="1:9">
      <c r="A66" t="s">
        <v>189</v>
      </c>
      <c r="B66" s="76">
        <f t="shared" ref="B66:B75" si="19">+I65</f>
        <v>381.78800000000001</v>
      </c>
      <c r="C66" s="76">
        <f>3669.213+262.266</f>
        <v>3931.4790000000003</v>
      </c>
      <c r="D66" s="76">
        <f>(24942.858+4082+1635.392)*2.204622/2000</f>
        <v>33.797130837750004</v>
      </c>
      <c r="E66" s="39">
        <f t="shared" si="16"/>
        <v>4347.0641308377499</v>
      </c>
      <c r="F66" s="77">
        <f t="shared" si="17"/>
        <v>2975.7076822875752</v>
      </c>
      <c r="G66" s="242">
        <f>((745.244112+4.957+219.587313))*(2.204622/2)</f>
        <v>1069.008448550175</v>
      </c>
      <c r="H66" s="39">
        <f t="shared" si="18"/>
        <v>4044.7161308377499</v>
      </c>
      <c r="I66" s="242">
        <f>270.421+31.927</f>
        <v>302.34800000000001</v>
      </c>
    </row>
    <row r="67" spans="1:9">
      <c r="A67" t="s">
        <v>190</v>
      </c>
      <c r="B67" s="76">
        <f t="shared" si="19"/>
        <v>302.34800000000001</v>
      </c>
      <c r="C67" s="76">
        <f>3539.791+256.884</f>
        <v>3796.6750000000002</v>
      </c>
      <c r="D67" s="76">
        <f>(25166.958+4758+365.767)*2.204622/2000</f>
        <v>33.389799365475</v>
      </c>
      <c r="E67" s="39">
        <f t="shared" si="16"/>
        <v>4132.4127993654747</v>
      </c>
      <c r="F67" s="77">
        <f t="shared" si="17"/>
        <v>2621.7602647039112</v>
      </c>
      <c r="G67" s="242">
        <f>((725.889237+8.801+263.534887))*(2.204622/2)</f>
        <v>1100.354534661564</v>
      </c>
      <c r="H67" s="39">
        <f t="shared" si="18"/>
        <v>3722.1147993654749</v>
      </c>
      <c r="I67" s="242">
        <f>368.063+42.235</f>
        <v>410.298</v>
      </c>
    </row>
    <row r="68" spans="1:9">
      <c r="A68" t="s">
        <v>191</v>
      </c>
      <c r="B68" s="76">
        <f t="shared" si="19"/>
        <v>410.298</v>
      </c>
      <c r="C68" s="76">
        <f>3425.236+241.078</f>
        <v>3666.3139999999999</v>
      </c>
      <c r="D68" s="76">
        <f>(24839.815+6908+637.385)*2.204622/2000</f>
        <v>35.698562197199998</v>
      </c>
      <c r="E68" s="39">
        <f t="shared" si="16"/>
        <v>4112.3105621971999</v>
      </c>
      <c r="F68" s="77">
        <f t="shared" si="17"/>
        <v>2542.269476764202</v>
      </c>
      <c r="G68" s="242">
        <f>((895.545031+8.529+191.523387))*(2.204622/2)</f>
        <v>1207.6890854329981</v>
      </c>
      <c r="H68" s="39">
        <f t="shared" si="18"/>
        <v>3749.9585621972001</v>
      </c>
      <c r="I68" s="242">
        <f>330.057+32.295</f>
        <v>362.35200000000003</v>
      </c>
    </row>
    <row r="69" spans="1:9">
      <c r="A69" t="s">
        <v>192</v>
      </c>
      <c r="B69" s="76">
        <f t="shared" si="19"/>
        <v>362.35200000000003</v>
      </c>
      <c r="C69" s="76">
        <f>3677.248+260.298</f>
        <v>3937.5460000000003</v>
      </c>
      <c r="D69" s="76">
        <f>(29351.146+6254+320.272)*2.204622/2000</f>
        <v>39.600983440997993</v>
      </c>
      <c r="E69" s="39">
        <f t="shared" si="16"/>
        <v>4339.498983440998</v>
      </c>
      <c r="F69" s="77">
        <f t="shared" si="17"/>
        <v>2995.2226337774759</v>
      </c>
      <c r="G69" s="242">
        <f>((715.645611+4.575+192.569291))*(2.204622/2)</f>
        <v>1006.1783496635221</v>
      </c>
      <c r="H69" s="39">
        <f t="shared" si="18"/>
        <v>4001.4009834409981</v>
      </c>
      <c r="I69" s="242">
        <f>302.672+35.426</f>
        <v>338.09800000000001</v>
      </c>
    </row>
    <row r="70" spans="1:9">
      <c r="A70" t="s">
        <v>193</v>
      </c>
      <c r="B70" s="76">
        <f t="shared" si="19"/>
        <v>338.09800000000001</v>
      </c>
      <c r="C70" s="76">
        <f>3502.911+243.761</f>
        <v>3746.672</v>
      </c>
      <c r="D70" s="76">
        <f>(38480.991+3492+724.589)*2.204622/2000</f>
        <v>47.066012107380004</v>
      </c>
      <c r="E70" s="39">
        <f t="shared" si="16"/>
        <v>4131.8360121073802</v>
      </c>
      <c r="F70" s="77">
        <f t="shared" si="17"/>
        <v>2657.6908387043277</v>
      </c>
      <c r="G70" s="242">
        <f>((803.224929+5.187+154.906203))*(2.204622/2)</f>
        <v>1061.876173403052</v>
      </c>
      <c r="H70" s="39">
        <f t="shared" si="18"/>
        <v>3719.5670121073799</v>
      </c>
      <c r="I70" s="242">
        <f>365.653+46.616</f>
        <v>412.26900000000001</v>
      </c>
    </row>
    <row r="71" spans="1:9">
      <c r="A71" t="s">
        <v>200</v>
      </c>
      <c r="B71" s="76">
        <f t="shared" si="19"/>
        <v>412.26900000000001</v>
      </c>
      <c r="C71" s="76">
        <f>3561.181+246.358</f>
        <v>3807.5390000000002</v>
      </c>
      <c r="D71" s="76">
        <f>(22966.963+5644+947.411)*2.204622/2000</f>
        <v>32.582520802314001</v>
      </c>
      <c r="E71" s="39">
        <f t="shared" si="16"/>
        <v>4252.3905208023143</v>
      </c>
      <c r="F71" s="77">
        <f t="shared" si="17"/>
        <v>2812.2799784183235</v>
      </c>
      <c r="G71" s="242">
        <f>((812.336895+6.89+133.941986))*(2.204622/2)</f>
        <v>1050.688542383991</v>
      </c>
      <c r="H71" s="39">
        <f t="shared" si="18"/>
        <v>3862.9685208023143</v>
      </c>
      <c r="I71" s="242">
        <f>343.411+46.011</f>
        <v>389.42200000000003</v>
      </c>
    </row>
    <row r="72" spans="1:9">
      <c r="A72" t="s">
        <v>194</v>
      </c>
      <c r="B72" s="76">
        <f t="shared" si="19"/>
        <v>389.42200000000003</v>
      </c>
      <c r="C72" s="76">
        <f>3411.099+235.294</f>
        <v>3646.393</v>
      </c>
      <c r="D72" s="76">
        <f>(19679.308+2313+1350.185)*2.204622/2000</f>
        <v>25.730686801323007</v>
      </c>
      <c r="E72" s="39">
        <f t="shared" si="16"/>
        <v>4061.545686801323</v>
      </c>
      <c r="F72" s="77">
        <f t="shared" si="17"/>
        <v>2990.0518689217397</v>
      </c>
      <c r="G72" s="242">
        <f>((589.374576+8.573+91.818577))*(2.204622/2)</f>
        <v>760.33681787958301</v>
      </c>
      <c r="H72" s="39">
        <f t="shared" si="18"/>
        <v>3750.3886868013228</v>
      </c>
      <c r="I72" s="242">
        <f>281.038+30.119</f>
        <v>311.15700000000004</v>
      </c>
    </row>
    <row r="73" spans="1:9">
      <c r="A73" t="s">
        <v>195</v>
      </c>
      <c r="B73" s="76">
        <f t="shared" si="19"/>
        <v>311.15700000000004</v>
      </c>
      <c r="C73" s="76">
        <f>3403.386+240.805</f>
        <v>3644.1909999999998</v>
      </c>
      <c r="D73" s="76">
        <f>(20165.229+3113+574.81)*2.204622/2000</f>
        <v>26.293467273129</v>
      </c>
      <c r="E73" s="39">
        <f t="shared" si="16"/>
        <v>3981.6414672731289</v>
      </c>
      <c r="F73" s="77">
        <f t="shared" si="17"/>
        <v>2543.4591645280107</v>
      </c>
      <c r="G73" s="242">
        <f>((776.598669+7.542+103.583669))*(2.204622/2)</f>
        <v>978.54830274511801</v>
      </c>
      <c r="H73" s="39">
        <f t="shared" si="18"/>
        <v>3522.0074672731289</v>
      </c>
      <c r="I73" s="242">
        <f>419.802+39.832</f>
        <v>459.63400000000001</v>
      </c>
    </row>
    <row r="74" spans="1:9">
      <c r="A74" t="s">
        <v>205</v>
      </c>
      <c r="B74" s="76">
        <f t="shared" si="19"/>
        <v>459.63400000000001</v>
      </c>
      <c r="C74" s="76">
        <f>3111.301+217.058</f>
        <v>3328.3589999999999</v>
      </c>
      <c r="D74" s="76">
        <f>(23685.027+3922+880.38)*2.204622/2000</f>
        <v>31.401982097577001</v>
      </c>
      <c r="E74" s="39">
        <f t="shared" si="16"/>
        <v>3819.3949820975768</v>
      </c>
      <c r="F74" s="77">
        <f t="shared" si="17"/>
        <v>2789.1519278875626</v>
      </c>
      <c r="G74" s="242">
        <f>((600.564703+6.676+78.208371))*(2.204622/2)</f>
        <v>755.5780542100141</v>
      </c>
      <c r="H74" s="39">
        <f t="shared" si="18"/>
        <v>3544.7299820975768</v>
      </c>
      <c r="I74" s="242">
        <f>247.799+26.866</f>
        <v>274.66500000000002</v>
      </c>
    </row>
    <row r="75" spans="1:9">
      <c r="A75" t="s">
        <v>186</v>
      </c>
      <c r="B75" s="76">
        <f t="shared" si="19"/>
        <v>274.66500000000002</v>
      </c>
      <c r="C75" s="76">
        <f>3042.315+215.143</f>
        <v>3257.4580000000001</v>
      </c>
      <c r="D75" s="76">
        <f>(25177.686+3462+598.154)*2.204622/2000</f>
        <v>32.229192648240002</v>
      </c>
      <c r="E75" s="39">
        <f t="shared" si="16"/>
        <v>3564.3521926482399</v>
      </c>
      <c r="F75" s="77">
        <f t="shared" si="17"/>
        <v>2412.0282878602329</v>
      </c>
      <c r="G75" s="242">
        <f>((677.122957+2.925+125.92958))*(2.204622/2)</f>
        <v>888.43790478800702</v>
      </c>
      <c r="H75" s="39">
        <f t="shared" si="18"/>
        <v>3300.4661926482399</v>
      </c>
      <c r="I75" s="242">
        <f>233.715+30.171</f>
        <v>263.88600000000002</v>
      </c>
    </row>
    <row r="76" spans="1:9">
      <c r="A76" s="38" t="s">
        <v>354</v>
      </c>
      <c r="B76" s="38"/>
      <c r="C76" s="76">
        <f>SUM(C64:C75)</f>
        <v>44671.661999999989</v>
      </c>
      <c r="D76" s="76">
        <f>SUM(D64:D75)</f>
        <v>403.42275683539208</v>
      </c>
      <c r="E76" s="76">
        <f>B64+C76+D76</f>
        <v>45338.970756835377</v>
      </c>
      <c r="F76" s="77">
        <f>SUM(F64:F75)</f>
        <v>33121.235108550703</v>
      </c>
      <c r="G76" s="77">
        <f>SUM(G64:G75)</f>
        <v>11953.849648284682</v>
      </c>
      <c r="H76" s="77">
        <f>SUM(H64:H75)</f>
        <v>45075.084756835386</v>
      </c>
      <c r="I76" s="39"/>
    </row>
    <row r="77" spans="1:9">
      <c r="A77" s="107" t="s">
        <v>498</v>
      </c>
      <c r="B77" s="38"/>
      <c r="C77" s="76"/>
      <c r="D77" s="76"/>
      <c r="E77" s="76"/>
      <c r="F77" s="76"/>
      <c r="G77" s="76"/>
      <c r="H77" s="76"/>
      <c r="I77" s="77"/>
    </row>
    <row r="78" spans="1:9">
      <c r="A78" t="s">
        <v>187</v>
      </c>
      <c r="B78" s="76">
        <f>233.715+30.171</f>
        <v>263.88600000000002</v>
      </c>
      <c r="C78" s="76">
        <f>3830.125+273.917</f>
        <v>4104.0420000000004</v>
      </c>
      <c r="D78" s="242">
        <f>(20102.004+3304+507.805)*2.204622/2000</f>
        <v>26.360454712599005</v>
      </c>
      <c r="E78" s="241">
        <f t="shared" ref="E78:E89" si="20">B78+C78+D78</f>
        <v>4394.2884547125996</v>
      </c>
      <c r="F78" s="242">
        <f t="shared" ref="F78:F89" si="21">H78-G78</f>
        <v>3084.1154310607744</v>
      </c>
      <c r="G78" s="242">
        <f>((693.141819+2.805+150.046756))*(2.204622/2)</f>
        <v>932.54802365182502</v>
      </c>
      <c r="H78" s="241">
        <f t="shared" ref="H78:H89" si="22">E78-I78</f>
        <v>4016.6634547125996</v>
      </c>
      <c r="I78" s="242">
        <f>335.413+42.212</f>
        <v>377.625</v>
      </c>
    </row>
    <row r="79" spans="1:9">
      <c r="A79" t="s">
        <v>188</v>
      </c>
      <c r="B79" s="76">
        <f>+I78</f>
        <v>377.625</v>
      </c>
      <c r="C79" s="76">
        <f>3739.093+273.414</f>
        <v>4012.5069999999996</v>
      </c>
      <c r="D79" s="242">
        <f>(21497.379+3901+124.943)*2.204622/2000</f>
        <v>28.134638597142001</v>
      </c>
      <c r="E79" s="241">
        <f t="shared" si="20"/>
        <v>4418.2666385971415</v>
      </c>
      <c r="F79" s="242">
        <f t="shared" si="21"/>
        <v>2997.7193684476474</v>
      </c>
      <c r="G79" s="242">
        <f>((667.273624+3.395+247.86913))*(2.204622/2)</f>
        <v>1012.5142701494941</v>
      </c>
      <c r="H79" s="241">
        <f t="shared" si="22"/>
        <v>4010.2336385971416</v>
      </c>
      <c r="I79" s="242">
        <f>361.959+46.074</f>
        <v>408.03300000000002</v>
      </c>
    </row>
    <row r="80" spans="1:9">
      <c r="A80" t="s">
        <v>189</v>
      </c>
      <c r="B80" s="76">
        <f t="shared" ref="B80:B89" si="23">+I79</f>
        <v>408.03300000000002</v>
      </c>
      <c r="C80" s="76">
        <f>3690.668+273.479</f>
        <v>3964.1469999999999</v>
      </c>
      <c r="D80" s="242">
        <f>(19456.672+4259+130.318)*2.204622/2000</f>
        <v>26.285697082889996</v>
      </c>
      <c r="E80" s="241">
        <f t="shared" si="20"/>
        <v>4398.4656970828901</v>
      </c>
      <c r="F80" s="242">
        <f t="shared" si="21"/>
        <v>3012.4751982149492</v>
      </c>
      <c r="G80" s="242">
        <f>((650.497579+2.548+199.327752))*(2.204622/2)</f>
        <v>939.58049886794106</v>
      </c>
      <c r="H80" s="241">
        <f t="shared" si="22"/>
        <v>3952.0556970828902</v>
      </c>
      <c r="I80" s="242">
        <f>403.901+42.509</f>
        <v>446.41</v>
      </c>
    </row>
    <row r="81" spans="1:9">
      <c r="A81" t="s">
        <v>190</v>
      </c>
      <c r="B81" s="76">
        <f t="shared" si="23"/>
        <v>446.41</v>
      </c>
      <c r="C81" s="76">
        <f>3763.462+261.739</f>
        <v>4025.201</v>
      </c>
      <c r="D81" s="242">
        <f>(28030.503+4355+726.884)*2.204622/2000</f>
        <v>36.500148426357001</v>
      </c>
      <c r="E81" s="241">
        <f t="shared" si="20"/>
        <v>4508.1111484263565</v>
      </c>
      <c r="F81" s="242">
        <f t="shared" si="21"/>
        <v>2766.0504663351844</v>
      </c>
      <c r="G81" s="242">
        <f>((955.04107+3.027+227.792982))*(2.204622/2)</f>
        <v>1307.1876820911721</v>
      </c>
      <c r="H81" s="241">
        <f t="shared" si="22"/>
        <v>4073.2381484263565</v>
      </c>
      <c r="I81" s="242">
        <f>394.425+40.448</f>
        <v>434.87299999999999</v>
      </c>
    </row>
    <row r="82" spans="1:9">
      <c r="A82" t="s">
        <v>191</v>
      </c>
      <c r="B82" s="76">
        <f t="shared" si="23"/>
        <v>434.87299999999999</v>
      </c>
      <c r="C82" s="76">
        <f>3331.018+228.174</f>
        <v>3559.192</v>
      </c>
      <c r="D82" s="242">
        <f>(28166.336+3893+387.116)*2.204622/2000</f>
        <v>35.766080950571997</v>
      </c>
      <c r="E82" s="241">
        <f t="shared" si="20"/>
        <v>4029.831080950572</v>
      </c>
      <c r="F82" s="242">
        <f t="shared" si="21"/>
        <v>2570.4993541711578</v>
      </c>
      <c r="G82" s="242">
        <f>((811.830698+11.508+133.305776))*(2.204622/2)</f>
        <v>1054.5197267794142</v>
      </c>
      <c r="H82" s="241">
        <f t="shared" si="22"/>
        <v>3625.0190809505721</v>
      </c>
      <c r="I82" s="242">
        <f>372.404+32.408</f>
        <v>404.81200000000001</v>
      </c>
    </row>
    <row r="83" spans="1:9">
      <c r="A83" t="s">
        <v>192</v>
      </c>
      <c r="B83" s="76">
        <f t="shared" si="23"/>
        <v>404.81200000000001</v>
      </c>
      <c r="C83" s="76">
        <f>3528.733+244.932</f>
        <v>3773.665</v>
      </c>
      <c r="D83" s="242">
        <f>(19135.634+3912+533.996)*2.204622/2000</f>
        <v>25.994290146929998</v>
      </c>
      <c r="E83" s="241">
        <f t="shared" si="20"/>
        <v>4204.4712901469302</v>
      </c>
      <c r="F83" s="242">
        <f t="shared" si="21"/>
        <v>2406.9584856453544</v>
      </c>
      <c r="G83" s="242">
        <f>((1022.929375+3.391+282.778241))*(2.204622/2)</f>
        <v>1443.033804501576</v>
      </c>
      <c r="H83" s="241">
        <f t="shared" si="22"/>
        <v>3849.9922901469304</v>
      </c>
      <c r="I83" s="242">
        <f>318.123+36.356</f>
        <v>354.47899999999998</v>
      </c>
    </row>
    <row r="84" spans="1:9">
      <c r="A84" t="s">
        <v>193</v>
      </c>
      <c r="B84" s="76">
        <f t="shared" si="23"/>
        <v>354.47899999999998</v>
      </c>
      <c r="C84" s="76">
        <f>3300.745+222.754</f>
        <v>3523.4989999999998</v>
      </c>
      <c r="D84" s="242">
        <f>(22512.339+3430+234.788)*2.204622/2000</f>
        <v>28.855335040497</v>
      </c>
      <c r="E84" s="241">
        <f t="shared" si="20"/>
        <v>3906.8333350404964</v>
      </c>
      <c r="F84" s="242">
        <f t="shared" si="21"/>
        <v>2566.7881570520294</v>
      </c>
      <c r="G84" s="242">
        <f>((647.334618+15.782+162.344779))*(2.204622/2)</f>
        <v>909.91517798846712</v>
      </c>
      <c r="H84" s="241">
        <f t="shared" si="22"/>
        <v>3476.7033350404963</v>
      </c>
      <c r="I84" s="242">
        <f>387.207+42.923</f>
        <v>430.13</v>
      </c>
    </row>
    <row r="85" spans="1:9">
      <c r="A85" t="s">
        <v>200</v>
      </c>
      <c r="B85" s="76">
        <f t="shared" si="23"/>
        <v>430.13</v>
      </c>
      <c r="C85" s="76">
        <f>3491.318+240.712</f>
        <v>3732.03</v>
      </c>
      <c r="D85" s="242">
        <f>(27160.809+4201+551.493)*2.204622/2000</f>
        <v>35.178383840922002</v>
      </c>
      <c r="E85" s="241">
        <f t="shared" si="20"/>
        <v>4197.3383838409218</v>
      </c>
      <c r="F85" s="242">
        <f t="shared" si="21"/>
        <v>2971.0832916556215</v>
      </c>
      <c r="G85" s="242">
        <f>((586.200742+7.811+130.160558))*(2.204622/2)</f>
        <v>798.26309218530014</v>
      </c>
      <c r="H85" s="241">
        <f t="shared" si="22"/>
        <v>3769.3463838409216</v>
      </c>
      <c r="I85" s="242">
        <f>375.156+52.836</f>
        <v>427.99200000000002</v>
      </c>
    </row>
    <row r="86" spans="1:9">
      <c r="A86" t="s">
        <v>194</v>
      </c>
      <c r="B86" s="76">
        <f t="shared" si="23"/>
        <v>427.99200000000002</v>
      </c>
      <c r="C86" s="76">
        <f>3268.397+221.13</f>
        <v>3489.527</v>
      </c>
      <c r="D86" s="242">
        <f>(23907.767+3681+352.707)*2.204622/2000</f>
        <v>30.800194146414</v>
      </c>
      <c r="E86" s="241">
        <f t="shared" si="20"/>
        <v>3948.3191941464142</v>
      </c>
      <c r="F86" s="242">
        <f t="shared" si="21"/>
        <v>2747.3111340636342</v>
      </c>
      <c r="G86" s="242">
        <f>((612.180231+14.035+145.823749))*(2.204622/2)</f>
        <v>851.02706008278005</v>
      </c>
      <c r="H86" s="241">
        <f t="shared" si="22"/>
        <v>3598.338194146414</v>
      </c>
      <c r="I86" s="242">
        <f>314.965+35.016</f>
        <v>349.98099999999999</v>
      </c>
    </row>
    <row r="87" spans="1:9">
      <c r="A87" t="s">
        <v>195</v>
      </c>
      <c r="B87" s="76">
        <f t="shared" si="23"/>
        <v>349.98099999999999</v>
      </c>
      <c r="C87" s="76">
        <f>3400.652+237.432</f>
        <v>3638.0839999999998</v>
      </c>
      <c r="D87" s="242">
        <f>(13681.79+2447+200.791+27.504)*2.204622/2000</f>
        <v>18.030594723435001</v>
      </c>
      <c r="E87" s="241">
        <f t="shared" si="20"/>
        <v>4006.0955947234347</v>
      </c>
      <c r="F87" s="242">
        <f t="shared" si="21"/>
        <v>2809.4328881144875</v>
      </c>
      <c r="G87" s="242">
        <f>((590.3906+5.875+104.955477))*(2.204622/2)</f>
        <v>772.96370660894695</v>
      </c>
      <c r="H87" s="241">
        <f t="shared" si="22"/>
        <v>3582.3965947234346</v>
      </c>
      <c r="I87" s="242">
        <f>385.868+37.831</f>
        <v>423.69900000000001</v>
      </c>
    </row>
    <row r="88" spans="1:9">
      <c r="A88" t="s">
        <v>205</v>
      </c>
      <c r="B88" s="76">
        <f t="shared" si="23"/>
        <v>423.69900000000001</v>
      </c>
      <c r="C88" s="76">
        <f>3319.155+237.324</f>
        <v>3556.4790000000003</v>
      </c>
      <c r="D88" s="242">
        <f>(22330.612+3449+117.308+1855.441)*2.204622/2000</f>
        <v>30.591732806271001</v>
      </c>
      <c r="E88" s="241">
        <f t="shared" si="20"/>
        <v>4010.7697328062713</v>
      </c>
      <c r="F88" s="242">
        <f t="shared" si="21"/>
        <v>2811.3092298311171</v>
      </c>
      <c r="G88" s="242">
        <f>((664.517336+4.113+123.324478))*(2.204622/2)</f>
        <v>872.98050297515408</v>
      </c>
      <c r="H88" s="241">
        <f t="shared" si="22"/>
        <v>3684.2897328062713</v>
      </c>
      <c r="I88" s="242">
        <f>290.921+35.559</f>
        <v>326.48</v>
      </c>
    </row>
    <row r="89" spans="1:9">
      <c r="A89" t="s">
        <v>186</v>
      </c>
      <c r="B89" s="76">
        <f t="shared" si="23"/>
        <v>326.48</v>
      </c>
      <c r="C89" s="76">
        <f>3188.771+219.873</f>
        <v>3408.6440000000002</v>
      </c>
      <c r="D89" s="242">
        <f>(20397.093+4027+105.104+15.191)*2.204622/2000</f>
        <v>27.055548880667999</v>
      </c>
      <c r="E89" s="241">
        <f t="shared" si="20"/>
        <v>3762.1795488806683</v>
      </c>
      <c r="F89" s="242">
        <f t="shared" si="21"/>
        <v>2676.2084951600373</v>
      </c>
      <c r="G89" s="242">
        <f>((490.716665+4.872+126.142456))*(2.204622/2)</f>
        <v>685.34105372063107</v>
      </c>
      <c r="H89" s="241">
        <f t="shared" si="22"/>
        <v>3361.5495488806682</v>
      </c>
      <c r="I89" s="242">
        <f>353.758+46.872</f>
        <v>400.63</v>
      </c>
    </row>
    <row r="90" spans="1:9">
      <c r="A90" s="38" t="s">
        <v>354</v>
      </c>
      <c r="B90" s="38"/>
      <c r="C90" s="76">
        <f>SUM(C78:C89)</f>
        <v>44787.017</v>
      </c>
      <c r="D90" s="76">
        <f>SUM(D78:D89)</f>
        <v>349.553099354697</v>
      </c>
      <c r="E90" s="76">
        <f>B78+C90+D90</f>
        <v>45400.456099354698</v>
      </c>
      <c r="F90" s="77">
        <f>SUM(F78:F89)</f>
        <v>33419.951499751995</v>
      </c>
      <c r="G90" s="77">
        <f>SUM(G78:G89)</f>
        <v>11579.874599602701</v>
      </c>
      <c r="H90" s="77">
        <f>SUM(H78:H89)</f>
        <v>44999.826099354694</v>
      </c>
      <c r="I90" s="38"/>
    </row>
    <row r="91" spans="1:9">
      <c r="A91" s="107" t="s">
        <v>569</v>
      </c>
      <c r="C91" s="76"/>
      <c r="D91" s="76"/>
      <c r="E91" s="76"/>
      <c r="F91" s="77"/>
      <c r="G91" s="77"/>
      <c r="H91" s="77"/>
      <c r="I91" s="38"/>
    </row>
    <row r="92" spans="1:9">
      <c r="A92" t="s">
        <v>187</v>
      </c>
      <c r="B92" s="242">
        <f>353.758+46.872</f>
        <v>400.63</v>
      </c>
      <c r="C92" s="76">
        <v>4123.8249999999998</v>
      </c>
      <c r="D92" s="76">
        <f>(22847.236+3613+112.237+227.84)*2.204622/2000</f>
        <v>29.542279823343005</v>
      </c>
      <c r="E92" s="241">
        <f>B92+C92+D92</f>
        <v>4553.997279823343</v>
      </c>
      <c r="F92" s="77">
        <v>3378.7416613199302</v>
      </c>
      <c r="G92" s="242">
        <f>((600.174309+9.196+100.005374))*(2.204622/2)</f>
        <v>781.95261850341296</v>
      </c>
      <c r="H92" s="241">
        <f t="shared" ref="H92:H103" si="24">E92-I92</f>
        <v>4160.6942798233431</v>
      </c>
      <c r="I92" s="242">
        <f>350.935+42.368</f>
        <v>393.303</v>
      </c>
    </row>
    <row r="93" spans="1:9">
      <c r="A93" t="s">
        <v>188</v>
      </c>
      <c r="B93" s="242">
        <v>393.303</v>
      </c>
      <c r="C93" s="76">
        <v>4101.692</v>
      </c>
      <c r="D93" s="76">
        <f>(24089.253+6879+138.856+88.687)*2.204622/2000</f>
        <v>34.387469084556002</v>
      </c>
      <c r="E93" s="241">
        <f t="shared" ref="E93:E103" si="25">B93+C93+D93</f>
        <v>4529.3824690845559</v>
      </c>
      <c r="F93" s="77">
        <v>3025.7385579029396</v>
      </c>
      <c r="G93" s="242">
        <f>((805.972095+9.59+195.528161))*(2.204622/2)</f>
        <v>1114.535911181616</v>
      </c>
      <c r="H93" s="241">
        <f t="shared" si="24"/>
        <v>4140.2744690845557</v>
      </c>
      <c r="I93" s="242">
        <f>354.998+34.11</f>
        <v>389.108</v>
      </c>
    </row>
    <row r="94" spans="1:9">
      <c r="A94" t="s">
        <v>189</v>
      </c>
      <c r="B94" s="242">
        <v>389.108</v>
      </c>
      <c r="C94" s="76">
        <v>4173.0169999999998</v>
      </c>
      <c r="D94" s="76">
        <f>(24389.331+4562+327.365+22.939)*2.204622/2000</f>
        <v>32.299514578485002</v>
      </c>
      <c r="E94" s="241">
        <f t="shared" si="25"/>
        <v>4594.4245145784853</v>
      </c>
      <c r="F94" s="77">
        <v>2850.6246743459992</v>
      </c>
      <c r="G94" s="242">
        <f>((830.201079+4.499+243.868347))*(2.204622/2)</f>
        <v>1188.917840232486</v>
      </c>
      <c r="H94" s="241">
        <f t="shared" si="24"/>
        <v>4039.5425145784852</v>
      </c>
      <c r="I94" s="242">
        <f>506.203+48.679</f>
        <v>554.88199999999995</v>
      </c>
    </row>
    <row r="95" spans="1:9">
      <c r="A95" t="s">
        <v>190</v>
      </c>
      <c r="B95" s="242">
        <v>554.88199999999995</v>
      </c>
      <c r="C95" s="76">
        <v>4128.3150000000005</v>
      </c>
      <c r="D95" s="76">
        <f>(36971.805+5379+529.766+155.003)*2.204622/2000</f>
        <v>47.438586611514005</v>
      </c>
      <c r="E95" s="241">
        <f t="shared" si="25"/>
        <v>4730.6355866115146</v>
      </c>
      <c r="F95" s="77">
        <v>3137.9027527343933</v>
      </c>
      <c r="G95" s="242">
        <f>((963.675889+8.332+100.939613))*(2.204622/2)</f>
        <v>1182.721833877122</v>
      </c>
      <c r="H95" s="241">
        <f t="shared" si="24"/>
        <v>4320.624586611515</v>
      </c>
      <c r="I95" s="242">
        <f>379.359+30.652</f>
        <v>410.01099999999997</v>
      </c>
    </row>
    <row r="96" spans="1:9">
      <c r="A96" t="s">
        <v>191</v>
      </c>
      <c r="B96" s="242">
        <v>410.01099999999997</v>
      </c>
      <c r="C96" s="76">
        <v>3899.5720000000001</v>
      </c>
      <c r="D96" s="76">
        <f>(38660.509+4701+268.165+52.191)*2.204622/2000</f>
        <v>48.151000290014998</v>
      </c>
      <c r="E96" s="241">
        <f t="shared" si="25"/>
        <v>4357.7340002900155</v>
      </c>
      <c r="F96" s="77">
        <v>2658.6559813247736</v>
      </c>
      <c r="G96" s="242">
        <f>((928.305283+11.173+188.412139))*(2.204622/2)</f>
        <v>1243.286018965242</v>
      </c>
      <c r="H96" s="241">
        <f t="shared" si="24"/>
        <v>3901.9420002900156</v>
      </c>
      <c r="I96" s="242">
        <f>415.077+40.715</f>
        <v>455.79200000000003</v>
      </c>
    </row>
    <row r="97" spans="1:9">
      <c r="A97" t="s">
        <v>192</v>
      </c>
      <c r="B97" s="242">
        <v>455.79200000000003</v>
      </c>
      <c r="C97" s="76">
        <v>4306.549</v>
      </c>
      <c r="D97" s="76">
        <f>(44293.716+6632+552.284+45.659)*2.204622/2000</f>
        <v>56.795096075949004</v>
      </c>
      <c r="E97" s="241">
        <f t="shared" si="25"/>
        <v>4819.1360960759494</v>
      </c>
      <c r="F97" s="77">
        <v>2938.5492005330943</v>
      </c>
      <c r="G97" s="242">
        <f>((1016.74134+8.669+186.947965))*(2.204622/2)</f>
        <v>1336.3958955428552</v>
      </c>
      <c r="H97" s="241">
        <f t="shared" si="24"/>
        <v>4274.9450960759496</v>
      </c>
      <c r="I97" s="242">
        <f>492.224+51.967</f>
        <v>544.19100000000003</v>
      </c>
    </row>
    <row r="98" spans="1:9">
      <c r="A98" t="s">
        <v>193</v>
      </c>
      <c r="B98" s="242">
        <v>544.19100000000003</v>
      </c>
      <c r="C98" s="76">
        <v>4079.9230000000002</v>
      </c>
      <c r="D98" s="76">
        <f>(28045.93+7488+746.07+92.753)*2.204622/2000</f>
        <v>40.094085732182997</v>
      </c>
      <c r="E98" s="241">
        <f t="shared" si="25"/>
        <v>4664.2080857321835</v>
      </c>
      <c r="F98" s="77">
        <v>2988.3558600621022</v>
      </c>
      <c r="G98" s="242">
        <f>((844.883785+12.285+252.977286))*(2.204622/2)</f>
        <v>1223.726225670081</v>
      </c>
      <c r="H98" s="241">
        <f t="shared" si="24"/>
        <v>4212.0820857321833</v>
      </c>
      <c r="I98" s="242">
        <f>404.468+47.658</f>
        <v>452.12600000000003</v>
      </c>
    </row>
    <row r="99" spans="1:9">
      <c r="A99" t="s">
        <v>200</v>
      </c>
      <c r="B99" s="242">
        <v>452.12600000000003</v>
      </c>
      <c r="C99" s="76">
        <v>4109.2609999999995</v>
      </c>
      <c r="D99" s="76">
        <f>(30307.778+8732+999.903+277.738)*2.204622/2000</f>
        <v>44.442334455308995</v>
      </c>
      <c r="E99" s="241">
        <f t="shared" si="25"/>
        <v>4605.8293344553085</v>
      </c>
      <c r="F99" s="77">
        <v>2890.0305152816891</v>
      </c>
      <c r="G99" s="242">
        <f>((884.285524+14.292+265.043105))*(2.204622/2)</f>
        <v>1282.671819173619</v>
      </c>
      <c r="H99" s="241">
        <f t="shared" si="24"/>
        <v>4172.7023344553081</v>
      </c>
      <c r="I99" s="242">
        <f>391.812+41.315</f>
        <v>433.12700000000001</v>
      </c>
    </row>
    <row r="100" spans="1:9">
      <c r="A100" t="s">
        <v>194</v>
      </c>
      <c r="B100" s="242">
        <v>433.12700000000001</v>
      </c>
      <c r="C100" s="76">
        <v>4032.319</v>
      </c>
      <c r="D100" s="76">
        <f>(32240.674+5482+601.309+347.659)*2.204622/2000</f>
        <v>42.628176364662004</v>
      </c>
      <c r="E100" s="241">
        <f t="shared" si="25"/>
        <v>4508.074176364662</v>
      </c>
      <c r="F100" s="77">
        <v>2723.5609441495617</v>
      </c>
      <c r="G100" s="242">
        <f>((946.370149+13.178+297.795951))*(2.204622/2)</f>
        <v>1385.9842322151001</v>
      </c>
      <c r="H100" s="241">
        <f t="shared" si="24"/>
        <v>4109.5451763646615</v>
      </c>
      <c r="I100" s="242">
        <f>359.823+38.706</f>
        <v>398.529</v>
      </c>
    </row>
    <row r="101" spans="1:9">
      <c r="A101" t="s">
        <v>195</v>
      </c>
      <c r="B101" s="242">
        <v>398.529</v>
      </c>
      <c r="C101" s="76">
        <v>4244.6819999999998</v>
      </c>
      <c r="D101" s="76">
        <f>(25790.768+9506+404.699+474.826)*2.204622/2000</f>
        <v>39.877525713122992</v>
      </c>
      <c r="E101" s="241">
        <f t="shared" si="25"/>
        <v>4683.0885257131222</v>
      </c>
      <c r="F101" s="77">
        <v>3070.3867604815377</v>
      </c>
      <c r="G101" s="242">
        <f>((732.444464+16.308+249.39848))*(2.204622/2)</f>
        <v>1100.2727652315841</v>
      </c>
      <c r="H101" s="241">
        <f t="shared" si="24"/>
        <v>4170.6595257131221</v>
      </c>
      <c r="I101" s="242">
        <f>462.35+50.079</f>
        <v>512.42899999999997</v>
      </c>
    </row>
    <row r="102" spans="1:9">
      <c r="A102" t="s">
        <v>205</v>
      </c>
      <c r="B102" s="242">
        <v>512.42899999999997</v>
      </c>
      <c r="C102" s="76">
        <v>4030.8049999999998</v>
      </c>
      <c r="D102" s="76">
        <f>(30811.776+9784+380.962+375.799)*2.204622/2000</f>
        <v>45.583356413007003</v>
      </c>
      <c r="E102" s="241">
        <f t="shared" si="25"/>
        <v>4588.8173564130066</v>
      </c>
      <c r="F102" s="77">
        <v>3017.8763414954128</v>
      </c>
      <c r="G102" s="242">
        <f>((832.055025+14.522+214.727829))*(2.204622/2)</f>
        <v>1169.8880149175941</v>
      </c>
      <c r="H102" s="241">
        <f t="shared" si="24"/>
        <v>4187.7643564130067</v>
      </c>
      <c r="I102" s="242">
        <f>359.936+41.117</f>
        <v>401.053</v>
      </c>
    </row>
    <row r="103" spans="1:9">
      <c r="A103" t="s">
        <v>186</v>
      </c>
      <c r="B103" s="242">
        <v>401.053</v>
      </c>
      <c r="C103" s="76">
        <v>3995.6460000000002</v>
      </c>
      <c r="D103" s="76">
        <f>(21488.826+7910+984.314+376.087)*2.204622/2000</f>
        <v>33.906234273597001</v>
      </c>
      <c r="E103" s="241">
        <f t="shared" si="25"/>
        <v>4430.6052342735975</v>
      </c>
      <c r="F103" s="77">
        <v>2828.4921793331314</v>
      </c>
      <c r="G103" s="242">
        <f>((719.576313+16.362+213.602293))*(2.204622/2)</f>
        <v>1046.6890549404661</v>
      </c>
      <c r="H103" s="241">
        <f t="shared" si="24"/>
        <v>3875.1812342735975</v>
      </c>
      <c r="I103" s="242">
        <f>501.299+54.125</f>
        <v>555.42399999999998</v>
      </c>
    </row>
    <row r="104" spans="1:9">
      <c r="A104" s="1" t="s">
        <v>354</v>
      </c>
      <c r="B104" s="1"/>
      <c r="C104" s="44">
        <f>SUM(C92:C103)</f>
        <v>49225.606000000007</v>
      </c>
      <c r="D104" s="44">
        <f>SUM(D92:D103)</f>
        <v>495.14565941574295</v>
      </c>
      <c r="E104" s="44">
        <f>B92+C104+D104</f>
        <v>50121.381659415747</v>
      </c>
      <c r="F104" s="59">
        <f>SUM(F92:F103)</f>
        <v>35508.915428964567</v>
      </c>
      <c r="G104" s="59">
        <f>SUM(G92:G103)</f>
        <v>14057.042230451181</v>
      </c>
      <c r="H104" s="59">
        <f>SUM(H92:H103)</f>
        <v>49565.957659415741</v>
      </c>
      <c r="I104" s="1"/>
    </row>
    <row r="105" spans="1:9" ht="13.2" customHeight="1">
      <c r="A105" s="107" t="s">
        <v>500</v>
      </c>
    </row>
    <row r="106" spans="1:9" ht="13.2" customHeight="1">
      <c r="A106" t="s">
        <v>520</v>
      </c>
    </row>
    <row r="107" spans="1:9" ht="10.199999999999999" customHeight="1">
      <c r="A107" t="s">
        <v>522</v>
      </c>
      <c r="I107" s="270" t="s">
        <v>679</v>
      </c>
    </row>
  </sheetData>
  <mergeCells count="2">
    <mergeCell ref="B2:E2"/>
    <mergeCell ref="F2:H2"/>
  </mergeCells>
  <phoneticPr fontId="0" type="noConversion"/>
  <pageMargins left="0.7" right="0.7" top="0.75" bottom="0.75" header="0.3" footer="0.3"/>
  <pageSetup scale="70" firstPageNumber="34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18"/>
  <sheetViews>
    <sheetView zoomScale="110" zoomScaleNormal="110" zoomScaleSheetLayoutView="100" workbookViewId="0">
      <selection activeCell="A105" sqref="A105"/>
    </sheetView>
  </sheetViews>
  <sheetFormatPr defaultRowHeight="10.199999999999999"/>
  <cols>
    <col min="1" max="1" width="20.85546875" customWidth="1"/>
    <col min="2" max="10" width="12.85546875" customWidth="1"/>
  </cols>
  <sheetData>
    <row r="1" spans="1:10">
      <c r="A1" s="114" t="s">
        <v>615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B2" s="403" t="s">
        <v>119</v>
      </c>
      <c r="C2" s="404"/>
      <c r="D2" s="404"/>
      <c r="E2" s="405"/>
      <c r="F2" s="403" t="s">
        <v>117</v>
      </c>
      <c r="G2" s="404"/>
      <c r="H2" s="404"/>
      <c r="I2" s="405"/>
    </row>
    <row r="3" spans="1:10">
      <c r="A3" t="s">
        <v>147</v>
      </c>
      <c r="B3" s="363" t="s">
        <v>141</v>
      </c>
      <c r="F3" s="363" t="s">
        <v>142</v>
      </c>
      <c r="I3" s="366"/>
      <c r="J3" s="7" t="s">
        <v>143</v>
      </c>
    </row>
    <row r="4" spans="1:10" ht="11.4">
      <c r="A4" t="s">
        <v>100</v>
      </c>
      <c r="B4" s="364" t="s">
        <v>110</v>
      </c>
      <c r="C4" s="35" t="s">
        <v>66</v>
      </c>
      <c r="D4" s="173" t="s">
        <v>88</v>
      </c>
      <c r="E4" s="35" t="s">
        <v>3</v>
      </c>
      <c r="F4" s="379" t="s">
        <v>3</v>
      </c>
      <c r="G4" s="35" t="s">
        <v>412</v>
      </c>
      <c r="H4" s="35" t="s">
        <v>90</v>
      </c>
      <c r="I4" s="367" t="s">
        <v>3</v>
      </c>
      <c r="J4" s="35" t="s">
        <v>110</v>
      </c>
    </row>
    <row r="5" spans="1:10">
      <c r="A5" s="1" t="s">
        <v>199</v>
      </c>
      <c r="B5" s="365"/>
      <c r="C5" s="1"/>
      <c r="D5" s="1"/>
      <c r="E5" s="1"/>
      <c r="F5" s="365"/>
      <c r="G5" s="1"/>
      <c r="H5" s="1"/>
      <c r="I5" s="368"/>
      <c r="J5" s="1"/>
    </row>
    <row r="6" spans="1:10">
      <c r="C6" s="268"/>
      <c r="D6" s="268"/>
      <c r="E6" s="268"/>
      <c r="F6" s="268" t="s">
        <v>151</v>
      </c>
      <c r="G6" s="268"/>
      <c r="H6" s="268"/>
      <c r="I6" s="268"/>
      <c r="J6" s="268"/>
    </row>
    <row r="7" spans="1:10">
      <c r="A7" t="s">
        <v>404</v>
      </c>
      <c r="B7" s="17"/>
      <c r="C7" s="67"/>
      <c r="D7" s="67"/>
      <c r="E7" s="67"/>
      <c r="F7" s="67"/>
      <c r="G7" s="67"/>
      <c r="H7" s="67"/>
      <c r="I7" s="67"/>
      <c r="J7" s="17"/>
    </row>
    <row r="8" spans="1:10">
      <c r="A8" t="s">
        <v>187</v>
      </c>
      <c r="B8" s="17">
        <f>2725150+360075</f>
        <v>3085225</v>
      </c>
      <c r="C8" s="17">
        <v>1868608.08</v>
      </c>
      <c r="D8" s="234">
        <f>(779.179+0+1059.491+19.983)*2.204622</f>
        <v>4097.627294166</v>
      </c>
      <c r="E8" s="17">
        <f t="shared" ref="E8:E19" si="0">SUM(B8:D8)</f>
        <v>4957930.7072941661</v>
      </c>
      <c r="F8" s="17">
        <f t="shared" ref="F8:F19" si="1">I8-H8</f>
        <v>1600124.8627896982</v>
      </c>
      <c r="G8" s="17">
        <v>246789</v>
      </c>
      <c r="H8" s="17">
        <f>(39723.893+235.167+15374.729+4951.305)*2.204622</f>
        <v>132905.844504468</v>
      </c>
      <c r="I8" s="17">
        <f t="shared" ref="I8:I19" si="2">(E8-J8)</f>
        <v>1733030.7072941661</v>
      </c>
      <c r="J8" s="17">
        <f>2877600+347300</f>
        <v>3224900</v>
      </c>
    </row>
    <row r="9" spans="1:10">
      <c r="A9" t="s">
        <v>188</v>
      </c>
      <c r="B9" s="17">
        <f>+J8</f>
        <v>3224900</v>
      </c>
      <c r="C9" s="17">
        <v>1805433.7</v>
      </c>
      <c r="D9" s="234">
        <f>(924.204+0+426.674+41.43)*2.204622</f>
        <v>3069.5128475760002</v>
      </c>
      <c r="E9" s="17">
        <f t="shared" si="0"/>
        <v>5033403.2128475765</v>
      </c>
      <c r="F9" s="17">
        <f t="shared" si="1"/>
        <v>1600176.1480099745</v>
      </c>
      <c r="G9" s="17">
        <v>219123</v>
      </c>
      <c r="H9" s="17">
        <f>(69743.935+2067.867+12865.534+5146.255)*2.204622</f>
        <v>198027.064837602</v>
      </c>
      <c r="I9" s="17">
        <f t="shared" si="2"/>
        <v>1798203.2128475765</v>
      </c>
      <c r="J9" s="17">
        <f>2917800+317400</f>
        <v>3235200</v>
      </c>
    </row>
    <row r="10" spans="1:10">
      <c r="A10" t="s">
        <v>189</v>
      </c>
      <c r="B10" s="17">
        <f t="shared" ref="B10:B19" si="3">+J9</f>
        <v>3235200</v>
      </c>
      <c r="C10" s="17">
        <v>1879439.8</v>
      </c>
      <c r="D10" s="234">
        <f>(693.076+0+796.479+1.129)*2.204622</f>
        <v>3286.3947414479999</v>
      </c>
      <c r="E10" s="17">
        <f t="shared" si="0"/>
        <v>5117926.1947414475</v>
      </c>
      <c r="F10" s="17">
        <f t="shared" si="1"/>
        <v>1449593.1660758755</v>
      </c>
      <c r="G10" s="17">
        <v>219310</v>
      </c>
      <c r="H10" s="17">
        <f>(140589.659+1102.594+27351.804+8461.669)*2.204622</f>
        <v>391333.02866557206</v>
      </c>
      <c r="I10" s="17">
        <f t="shared" si="2"/>
        <v>1840926.1947414475</v>
      </c>
      <c r="J10" s="17">
        <f>2916100+360900</f>
        <v>3277000</v>
      </c>
    </row>
    <row r="11" spans="1:10">
      <c r="A11" t="s">
        <v>190</v>
      </c>
      <c r="B11" s="17">
        <f t="shared" si="3"/>
        <v>3277000</v>
      </c>
      <c r="C11" s="17">
        <v>1845226.93</v>
      </c>
      <c r="D11" s="234">
        <f>(678.914+0+2050.537+0)*2.204622</f>
        <v>6017.4077225219999</v>
      </c>
      <c r="E11" s="17">
        <f t="shared" si="0"/>
        <v>5128244.3377225213</v>
      </c>
      <c r="F11" s="17">
        <f t="shared" si="1"/>
        <v>1562526.8647112532</v>
      </c>
      <c r="G11" s="17">
        <v>289000</v>
      </c>
      <c r="H11" s="17">
        <f>(56435.197+137.352+12325.444+2626.501)*2.204622</f>
        <v>157684.47301126801</v>
      </c>
      <c r="I11" s="17">
        <f t="shared" si="2"/>
        <v>1720211.3377225213</v>
      </c>
      <c r="J11" s="17">
        <f>3030542+377491</f>
        <v>3408033</v>
      </c>
    </row>
    <row r="12" spans="1:10">
      <c r="A12" t="s">
        <v>191</v>
      </c>
      <c r="B12" s="17">
        <f t="shared" si="3"/>
        <v>3408033</v>
      </c>
      <c r="C12" s="17">
        <v>1687694.5</v>
      </c>
      <c r="D12" s="234">
        <f>(1376.998+0+1736.654+18.845)*2.204622</f>
        <v>6905.9718011340001</v>
      </c>
      <c r="E12" s="17">
        <f t="shared" si="0"/>
        <v>5102633.4718011338</v>
      </c>
      <c r="F12" s="17">
        <f t="shared" si="1"/>
        <v>1314387.6890689977</v>
      </c>
      <c r="G12" s="17">
        <v>247460</v>
      </c>
      <c r="H12" s="17">
        <f>(193315.826+72.804+35357.907+2549.251)*2.204622</f>
        <v>509919.78273213602</v>
      </c>
      <c r="I12" s="17">
        <f t="shared" si="2"/>
        <v>1824307.4718011338</v>
      </c>
      <c r="J12" s="17">
        <f>2899937+378389</f>
        <v>3278326</v>
      </c>
    </row>
    <row r="13" spans="1:10">
      <c r="A13" t="s">
        <v>192</v>
      </c>
      <c r="B13" s="17">
        <f t="shared" si="3"/>
        <v>3278326</v>
      </c>
      <c r="C13" s="17">
        <v>1827761.46</v>
      </c>
      <c r="D13" s="234">
        <f>(2039.507+0+391.555+0)*2.204622</f>
        <v>5359.5727685640004</v>
      </c>
      <c r="E13" s="17">
        <f t="shared" si="0"/>
        <v>5111447.0327685643</v>
      </c>
      <c r="F13" s="17">
        <f t="shared" si="1"/>
        <v>1642450.6141207581</v>
      </c>
      <c r="G13" s="17">
        <v>259520</v>
      </c>
      <c r="H13" s="17">
        <f>(149346.116+268.079+22468.655+2780.423)*2.204622</f>
        <v>385507.41864780604</v>
      </c>
      <c r="I13" s="17">
        <f t="shared" si="2"/>
        <v>2027958.0327685643</v>
      </c>
      <c r="J13" s="17">
        <f>2720543+362946</f>
        <v>3083489</v>
      </c>
    </row>
    <row r="14" spans="1:10">
      <c r="A14" t="s">
        <v>193</v>
      </c>
      <c r="B14" s="17">
        <f t="shared" si="3"/>
        <v>3083489</v>
      </c>
      <c r="C14" s="17">
        <v>1707011.36</v>
      </c>
      <c r="D14" s="234">
        <f>(2235.449+0+1631.076+25.012)*2.204622</f>
        <v>8579.3680840140005</v>
      </c>
      <c r="E14" s="17">
        <f t="shared" si="0"/>
        <v>4799079.7280840147</v>
      </c>
      <c r="F14" s="17">
        <f t="shared" si="1"/>
        <v>1446246.1862078346</v>
      </c>
      <c r="G14" s="17">
        <v>266460</v>
      </c>
      <c r="H14" s="17">
        <f>(168742.41+3136.858+19361.092+2468.83)*2.204622</f>
        <v>427055.54187618004</v>
      </c>
      <c r="I14" s="17">
        <f t="shared" si="2"/>
        <v>1873301.7280840147</v>
      </c>
      <c r="J14" s="17">
        <f>2581100+344678</f>
        <v>2925778</v>
      </c>
    </row>
    <row r="15" spans="1:10">
      <c r="A15" t="s">
        <v>196</v>
      </c>
      <c r="B15" s="17">
        <f t="shared" si="3"/>
        <v>2925778</v>
      </c>
      <c r="C15" s="17">
        <v>1756417.8</v>
      </c>
      <c r="D15" s="234">
        <f>(1064.721+0+1328.946+38.355)*2.204622</f>
        <v>5361.6892056839997</v>
      </c>
      <c r="E15" s="17">
        <f t="shared" si="0"/>
        <v>4687557.4892056836</v>
      </c>
      <c r="F15" s="17">
        <f t="shared" si="1"/>
        <v>1535213.0848976115</v>
      </c>
      <c r="G15" s="17">
        <v>269800</v>
      </c>
      <c r="H15" s="17">
        <f>(52455.149+1633.824+16512.44+3513.063)*2.204622</f>
        <v>163394.404308072</v>
      </c>
      <c r="I15" s="17">
        <f t="shared" si="2"/>
        <v>1698607.4892056836</v>
      </c>
      <c r="J15" s="17">
        <f>2641757+347193</f>
        <v>2988950</v>
      </c>
    </row>
    <row r="16" spans="1:10">
      <c r="A16" t="s">
        <v>194</v>
      </c>
      <c r="B16" s="17">
        <f t="shared" si="3"/>
        <v>2988950</v>
      </c>
      <c r="C16" s="17">
        <v>1632790.52</v>
      </c>
      <c r="D16" s="234">
        <f>(519.277+0+703.719+44.432)*2.204622</f>
        <v>2794.1996522160002</v>
      </c>
      <c r="E16" s="17">
        <f t="shared" si="0"/>
        <v>4624534.719652216</v>
      </c>
      <c r="F16" s="17">
        <f t="shared" si="1"/>
        <v>1546862.1851731921</v>
      </c>
      <c r="G16" s="17">
        <v>298800</v>
      </c>
      <c r="H16" s="17">
        <f>(63019.537+1434.17+12183.167+1241.118)*2.204622</f>
        <v>171691.53447902401</v>
      </c>
      <c r="I16" s="17">
        <f t="shared" si="2"/>
        <v>1718553.719652216</v>
      </c>
      <c r="J16" s="17">
        <f>2565131+340850</f>
        <v>2905981</v>
      </c>
    </row>
    <row r="17" spans="1:10">
      <c r="A17" t="s">
        <v>195</v>
      </c>
      <c r="B17" s="17">
        <f t="shared" si="3"/>
        <v>2905981</v>
      </c>
      <c r="C17" s="17">
        <v>1616379.28</v>
      </c>
      <c r="D17" s="234">
        <f>(1446.196+0+925.748+26.787)*2.204622</f>
        <v>5288.295134682</v>
      </c>
      <c r="E17" s="17">
        <f t="shared" si="0"/>
        <v>4527648.5751346825</v>
      </c>
      <c r="F17" s="17">
        <f t="shared" si="1"/>
        <v>1608898.5870767245</v>
      </c>
      <c r="G17" s="17">
        <v>319100</v>
      </c>
      <c r="H17" s="17">
        <f>(39363.929+822.274+14049.273+2694.913)*2.204622</f>
        <v>125509.98805795799</v>
      </c>
      <c r="I17" s="17">
        <f t="shared" si="2"/>
        <v>1734408.5751346825</v>
      </c>
      <c r="J17" s="17">
        <f>2492182+301058</f>
        <v>2793240</v>
      </c>
    </row>
    <row r="18" spans="1:10">
      <c r="A18" t="s">
        <v>205</v>
      </c>
      <c r="B18" s="17">
        <f t="shared" si="3"/>
        <v>2793240</v>
      </c>
      <c r="C18" s="17">
        <v>1507544.65</v>
      </c>
      <c r="D18" s="234">
        <f>(1807.496+0+2411.757+39.086)*2.204622</f>
        <v>9388.0278428580023</v>
      </c>
      <c r="E18" s="17">
        <f t="shared" si="0"/>
        <v>4310172.6778428582</v>
      </c>
      <c r="F18" s="17">
        <f t="shared" si="1"/>
        <v>1558993.1408341683</v>
      </c>
      <c r="G18" s="17">
        <v>331860</v>
      </c>
      <c r="H18" s="17">
        <f>(62275.894+2252.12+15599.52+3249.361)*2.204622</f>
        <v>183814.53700869001</v>
      </c>
      <c r="I18" s="17">
        <f t="shared" si="2"/>
        <v>1742807.6778428582</v>
      </c>
      <c r="J18" s="17">
        <f>2271966+295399</f>
        <v>2567365</v>
      </c>
    </row>
    <row r="19" spans="1:10">
      <c r="A19" t="s">
        <v>186</v>
      </c>
      <c r="B19" s="17">
        <f t="shared" si="3"/>
        <v>2567365</v>
      </c>
      <c r="C19" s="17">
        <v>1445522.7</v>
      </c>
      <c r="D19" s="234">
        <f>(1297.935+0+1036.948+26.989)*2.204622</f>
        <v>5207.034972384</v>
      </c>
      <c r="E19" s="17">
        <f t="shared" si="0"/>
        <v>4018094.7349723843</v>
      </c>
      <c r="F19" s="17">
        <f t="shared" si="1"/>
        <v>1469292.8966382584</v>
      </c>
      <c r="G19" s="17">
        <v>278100</v>
      </c>
      <c r="H19" s="17">
        <f>(19539.702+168.045+8919.875+495.211)*2.204622</f>
        <v>64204.838334125998</v>
      </c>
      <c r="I19" s="17">
        <f t="shared" si="2"/>
        <v>1533497.7349723843</v>
      </c>
      <c r="J19" s="17">
        <f>2203536+281061</f>
        <v>2484597</v>
      </c>
    </row>
    <row r="20" spans="1:10">
      <c r="A20" s="38" t="s">
        <v>382</v>
      </c>
      <c r="B20" s="17"/>
      <c r="C20" s="17">
        <f>SUM(C8:C19)</f>
        <v>20579830.779999997</v>
      </c>
      <c r="D20" s="234">
        <f>SUM(D8:D19)</f>
        <v>65355.102067248001</v>
      </c>
      <c r="E20" s="17">
        <f>B8+C20+D20</f>
        <v>23730410.882067244</v>
      </c>
      <c r="F20" s="17">
        <f>SUM(F8:F19)</f>
        <v>18334765.425604343</v>
      </c>
      <c r="G20" s="17">
        <f>SUM(G8:G19)</f>
        <v>3245322</v>
      </c>
      <c r="H20" s="17">
        <f>SUM(H8:H19)</f>
        <v>2911048.456462902</v>
      </c>
      <c r="I20" s="17">
        <f>SUM(I8:I19)</f>
        <v>21245813.882067252</v>
      </c>
      <c r="J20" s="17"/>
    </row>
    <row r="21" spans="1:10">
      <c r="A21" t="s">
        <v>411</v>
      </c>
      <c r="B21" s="17"/>
      <c r="C21" s="67"/>
      <c r="D21" s="67"/>
      <c r="E21" s="67"/>
      <c r="F21" s="67"/>
      <c r="G21" s="67"/>
      <c r="H21" s="67"/>
      <c r="I21" s="67"/>
      <c r="J21" s="17"/>
    </row>
    <row r="22" spans="1:10">
      <c r="A22" t="s">
        <v>187</v>
      </c>
      <c r="B22" s="17">
        <f>+J19</f>
        <v>2484597</v>
      </c>
      <c r="C22" s="17">
        <v>1715917.39</v>
      </c>
      <c r="D22" s="234">
        <f>(304.139+0+1857.275+41.55)*2.204622</f>
        <v>4856.7028996080007</v>
      </c>
      <c r="E22" s="17">
        <f t="shared" ref="E22:E33" si="4">SUM(B22:D22)</f>
        <v>4205371.0928996075</v>
      </c>
      <c r="F22" s="17">
        <f t="shared" ref="F22:F33" si="5">I22-H22</f>
        <v>1678766.2555530276</v>
      </c>
      <c r="G22" s="17">
        <v>295300</v>
      </c>
      <c r="H22" s="17">
        <f>(51222.672+177.43+9182.563+2069.725)*2.204622</f>
        <v>138124.83734658</v>
      </c>
      <c r="I22" s="17">
        <f t="shared" ref="I22:I33" si="6">(E22-J22)</f>
        <v>1816891.0928996075</v>
      </c>
      <c r="J22" s="17">
        <f>2085380+303100</f>
        <v>2388480</v>
      </c>
    </row>
    <row r="23" spans="1:10">
      <c r="A23" t="s">
        <v>188</v>
      </c>
      <c r="B23" s="17">
        <f>+J22</f>
        <v>2388480</v>
      </c>
      <c r="C23" s="17">
        <v>1622851</v>
      </c>
      <c r="D23" s="234">
        <f>(604.375+0+3570.334+38.998)*2.204622</f>
        <v>9289.6311537539987</v>
      </c>
      <c r="E23" s="17">
        <f t="shared" si="4"/>
        <v>4020620.631153754</v>
      </c>
      <c r="F23" s="17">
        <f t="shared" si="5"/>
        <v>1399292.377169108</v>
      </c>
      <c r="G23" s="17">
        <v>252352</v>
      </c>
      <c r="H23" s="17">
        <f>(29089.97+577.345+10422.587+6333.591)*2.204622</f>
        <v>102346.25398464601</v>
      </c>
      <c r="I23" s="17">
        <f t="shared" si="6"/>
        <v>1501638.631153754</v>
      </c>
      <c r="J23" s="17">
        <f>2187355+331627</f>
        <v>2518982</v>
      </c>
    </row>
    <row r="24" spans="1:10">
      <c r="A24" t="s">
        <v>189</v>
      </c>
      <c r="B24" s="17">
        <f t="shared" ref="B24:B33" si="7">+J23</f>
        <v>2518982</v>
      </c>
      <c r="C24" s="17">
        <v>1596985.45</v>
      </c>
      <c r="D24" s="234">
        <f>(497.39+0+981.587+25.924)*2.204622</f>
        <v>3317.7378524219998</v>
      </c>
      <c r="E24" s="17">
        <f t="shared" si="4"/>
        <v>4119285.1878524222</v>
      </c>
      <c r="F24" s="17">
        <f t="shared" si="5"/>
        <v>1369809.8572877583</v>
      </c>
      <c r="G24" s="17">
        <v>207000</v>
      </c>
      <c r="H24" s="17">
        <f>(37780.09+289.968+12514.072+3804.482)*2.204622</f>
        <v>119906.33056466399</v>
      </c>
      <c r="I24" s="17">
        <f t="shared" si="6"/>
        <v>1489716.1878524222</v>
      </c>
      <c r="J24" s="17">
        <f>2342799+286770</f>
        <v>2629569</v>
      </c>
    </row>
    <row r="25" spans="1:10">
      <c r="A25" t="s">
        <v>190</v>
      </c>
      <c r="B25" s="17">
        <f t="shared" si="7"/>
        <v>2629569</v>
      </c>
      <c r="C25" s="17">
        <v>1615100</v>
      </c>
      <c r="D25" s="234">
        <f>(1536.629+40.316+2587.048+44.653)*2.204622</f>
        <v>9278.4735618119994</v>
      </c>
      <c r="E25" s="17">
        <f t="shared" si="4"/>
        <v>4253947.4735618122</v>
      </c>
      <c r="F25" s="17">
        <f t="shared" si="5"/>
        <v>1165212.7657604923</v>
      </c>
      <c r="G25" s="17">
        <v>133300</v>
      </c>
      <c r="H25" s="17">
        <f>(28406.049+359.873+13832.241+1143.897)*2.204622</f>
        <v>96434.707801319993</v>
      </c>
      <c r="I25" s="17">
        <f t="shared" si="6"/>
        <v>1261647.4735618122</v>
      </c>
      <c r="J25" s="17">
        <f>2692700+299600</f>
        <v>2992300</v>
      </c>
    </row>
    <row r="26" spans="1:10">
      <c r="A26" t="s">
        <v>191</v>
      </c>
      <c r="B26" s="17">
        <f t="shared" si="7"/>
        <v>2992300</v>
      </c>
      <c r="C26" s="17">
        <v>1536100</v>
      </c>
      <c r="D26" s="234">
        <f>(3593.173+0+956.056+33.472)*2.204622</f>
        <v>10103.123444021998</v>
      </c>
      <c r="E26" s="17">
        <f t="shared" si="4"/>
        <v>4538503.1234440217</v>
      </c>
      <c r="F26" s="17">
        <f t="shared" si="5"/>
        <v>1268509.7823942716</v>
      </c>
      <c r="G26" s="17">
        <v>195900</v>
      </c>
      <c r="H26" s="17">
        <f>(58139.861+688.723+5555.492+1792.049)*2.204622</f>
        <v>145893.34104975002</v>
      </c>
      <c r="I26" s="17">
        <f t="shared" si="6"/>
        <v>1414403.1234440217</v>
      </c>
      <c r="J26" s="17">
        <f>2816900+307200</f>
        <v>3124100</v>
      </c>
    </row>
    <row r="27" spans="1:10">
      <c r="A27" t="s">
        <v>192</v>
      </c>
      <c r="B27" s="17">
        <f t="shared" si="7"/>
        <v>3124100</v>
      </c>
      <c r="C27" s="17">
        <v>1636000</v>
      </c>
      <c r="D27" s="234">
        <f>(3560.135+0+1058.012+62.614)*2.204622</f>
        <v>10319.308677342</v>
      </c>
      <c r="E27" s="17">
        <f t="shared" si="4"/>
        <v>4770419.3086773418</v>
      </c>
      <c r="F27" s="17">
        <f t="shared" si="5"/>
        <v>1417531.8594100478</v>
      </c>
      <c r="G27" s="17">
        <v>107400</v>
      </c>
      <c r="H27" s="17">
        <f>(53146.805+1764.707+17647.615+599.65)*2.204622</f>
        <v>161287.449267294</v>
      </c>
      <c r="I27" s="17">
        <f t="shared" si="6"/>
        <v>1578819.3086773418</v>
      </c>
      <c r="J27" s="17">
        <f>2904200+287400</f>
        <v>3191600</v>
      </c>
    </row>
    <row r="28" spans="1:10">
      <c r="A28" t="s">
        <v>193</v>
      </c>
      <c r="B28" s="17">
        <f t="shared" si="7"/>
        <v>3191600</v>
      </c>
      <c r="C28" s="17">
        <v>1596000</v>
      </c>
      <c r="D28" s="234">
        <f>(1988.682+0+2794.493+40.217)*2.204622</f>
        <v>10633.756117823999</v>
      </c>
      <c r="E28" s="17">
        <f t="shared" si="4"/>
        <v>4798233.7561178245</v>
      </c>
      <c r="F28" s="17">
        <f t="shared" si="5"/>
        <v>1168516.9944416145</v>
      </c>
      <c r="G28" s="17">
        <v>98500</v>
      </c>
      <c r="H28" s="17">
        <f>(146874.998+2425.446+8043.284+1557.327)*2.204622</f>
        <v>350316.76167620998</v>
      </c>
      <c r="I28" s="17">
        <f t="shared" si="6"/>
        <v>1518833.7561178245</v>
      </c>
      <c r="J28" s="17">
        <f>2975600+303800</f>
        <v>3279400</v>
      </c>
    </row>
    <row r="29" spans="1:10">
      <c r="A29" t="s">
        <v>196</v>
      </c>
      <c r="B29" s="17">
        <f t="shared" si="7"/>
        <v>3279400</v>
      </c>
      <c r="C29" s="17">
        <v>1683200</v>
      </c>
      <c r="D29" s="234">
        <f>(154.604+0+1197.699+48.122)*2.204622</f>
        <v>3087.4077643500004</v>
      </c>
      <c r="E29" s="17">
        <f t="shared" si="4"/>
        <v>4965687.4077643501</v>
      </c>
      <c r="F29" s="17">
        <f t="shared" si="5"/>
        <v>1349041.2581661821</v>
      </c>
      <c r="G29" s="17">
        <v>98600</v>
      </c>
      <c r="H29" s="17">
        <f>(120537.774+364.018+4746.998+394.654)*2.204622</f>
        <v>277878.14959816803</v>
      </c>
      <c r="I29" s="17">
        <f t="shared" si="6"/>
        <v>1626919.4077643501</v>
      </c>
      <c r="J29" s="17">
        <f>3034747+304021</f>
        <v>3338768</v>
      </c>
    </row>
    <row r="30" spans="1:10">
      <c r="A30" t="s">
        <v>194</v>
      </c>
      <c r="B30" s="17">
        <f t="shared" si="7"/>
        <v>3338768</v>
      </c>
      <c r="C30" s="17">
        <v>1604322</v>
      </c>
      <c r="D30" s="234">
        <f>(661.038+0+1409.601+57.432)*2.204622</f>
        <v>4691.5921441620003</v>
      </c>
      <c r="E30" s="17">
        <f t="shared" si="4"/>
        <v>4947781.5921441624</v>
      </c>
      <c r="F30" s="17">
        <f t="shared" si="5"/>
        <v>1330976.6914283345</v>
      </c>
      <c r="G30" s="17">
        <v>118300</v>
      </c>
      <c r="H30" s="17">
        <f>(31859.73+272.159+6022.843+1083.242)*2.204622</f>
        <v>86504.900715827986</v>
      </c>
      <c r="I30" s="17">
        <f t="shared" si="6"/>
        <v>1417481.5921441624</v>
      </c>
      <c r="J30" s="17">
        <f>3237500+292800</f>
        <v>3530300</v>
      </c>
    </row>
    <row r="31" spans="1:10">
      <c r="A31" t="s">
        <v>195</v>
      </c>
      <c r="B31" s="17">
        <f t="shared" si="7"/>
        <v>3530300</v>
      </c>
      <c r="C31" s="17">
        <v>1469173</v>
      </c>
      <c r="D31" s="234">
        <f>(1662.807+19.232+1933.299+42.877)*2.204622</f>
        <v>8064.9812697299994</v>
      </c>
      <c r="E31" s="17">
        <f t="shared" si="4"/>
        <v>5007537.9812697303</v>
      </c>
      <c r="F31" s="17">
        <f t="shared" si="5"/>
        <v>1311025.9340922562</v>
      </c>
      <c r="G31" s="17">
        <v>164300</v>
      </c>
      <c r="H31" s="17">
        <f>(91435.885+1566.022+18237.393+1075.667)*2.204622</f>
        <v>247612.04717747399</v>
      </c>
      <c r="I31" s="17">
        <f t="shared" si="6"/>
        <v>1558637.9812697303</v>
      </c>
      <c r="J31" s="17">
        <f>3148700+300200</f>
        <v>3448900</v>
      </c>
    </row>
    <row r="32" spans="1:10">
      <c r="A32" t="s">
        <v>205</v>
      </c>
      <c r="B32" s="17">
        <f t="shared" si="7"/>
        <v>3448900</v>
      </c>
      <c r="C32" s="17">
        <v>1369400</v>
      </c>
      <c r="D32" s="234">
        <f>(1577.742+0+1962.82+40.733)*2.204622</f>
        <v>7895.4017454900004</v>
      </c>
      <c r="E32" s="17">
        <f t="shared" si="4"/>
        <v>4826195.4017454898</v>
      </c>
      <c r="F32" s="17">
        <f t="shared" si="5"/>
        <v>1389256.9479060697</v>
      </c>
      <c r="G32" s="17">
        <v>174800</v>
      </c>
      <c r="H32" s="17">
        <f>(129590.498+60.432+7192.973+566.707)*2.204622</f>
        <v>302938.45383942005</v>
      </c>
      <c r="I32" s="17">
        <f t="shared" si="6"/>
        <v>1692195.4017454898</v>
      </c>
      <c r="J32" s="17">
        <f>2863900+270100</f>
        <v>3134000</v>
      </c>
    </row>
    <row r="33" spans="1:10">
      <c r="A33" t="s">
        <v>186</v>
      </c>
      <c r="B33" s="17">
        <f t="shared" si="7"/>
        <v>3134000</v>
      </c>
      <c r="C33" s="17">
        <v>1299919</v>
      </c>
      <c r="D33" s="234">
        <f>(1109.021+0+2487.315+50.252)*2.204622</f>
        <v>8039.3481297360004</v>
      </c>
      <c r="E33" s="17">
        <f t="shared" si="4"/>
        <v>4441958.3481297363</v>
      </c>
      <c r="F33" s="17">
        <f t="shared" si="5"/>
        <v>1417263.1611772263</v>
      </c>
      <c r="G33" s="17">
        <v>223000</v>
      </c>
      <c r="H33" s="17">
        <f>(62943.533+116.282+11084.385+333.505)*2.204622</f>
        <v>164195.18695251</v>
      </c>
      <c r="I33" s="17">
        <f t="shared" si="6"/>
        <v>1581458.3481297363</v>
      </c>
      <c r="J33" s="17">
        <f>2612500+248000</f>
        <v>2860500</v>
      </c>
    </row>
    <row r="34" spans="1:10">
      <c r="A34" s="38" t="s">
        <v>382</v>
      </c>
      <c r="B34" s="17"/>
      <c r="C34" s="17">
        <f>SUM(C22:C33)</f>
        <v>18744967.84</v>
      </c>
      <c r="D34" s="234">
        <f>SUM(D22:D33)</f>
        <v>89577.464760251984</v>
      </c>
      <c r="E34" s="17">
        <f>B22+C34+D34</f>
        <v>21319142.304760251</v>
      </c>
      <c r="F34" s="17">
        <f>SUM(F22:F33)</f>
        <v>16265203.88478639</v>
      </c>
      <c r="G34" s="17">
        <f>SUM(G22:G33)</f>
        <v>2068752</v>
      </c>
      <c r="H34" s="17">
        <f>SUM(H22:H33)</f>
        <v>2193438.4199738642</v>
      </c>
      <c r="I34" s="17">
        <f>SUM(I22:I33)</f>
        <v>18458642.304760247</v>
      </c>
      <c r="J34" s="17"/>
    </row>
    <row r="35" spans="1:10">
      <c r="A35" s="107" t="s">
        <v>417</v>
      </c>
      <c r="B35" s="17"/>
      <c r="C35" s="67"/>
      <c r="D35" s="67"/>
      <c r="E35" s="67"/>
      <c r="F35" s="67"/>
      <c r="G35" s="67"/>
      <c r="H35" s="67"/>
      <c r="I35" s="67"/>
      <c r="J35" s="17"/>
    </row>
    <row r="36" spans="1:10">
      <c r="A36" t="s">
        <v>187</v>
      </c>
      <c r="B36" s="17">
        <f>+J33</f>
        <v>2860500</v>
      </c>
      <c r="C36" s="17">
        <v>1825200</v>
      </c>
      <c r="D36" s="234">
        <f>(1010.118+18.316+2158.748+28.092)*2.204622</f>
        <v>7088.463796428</v>
      </c>
      <c r="E36" s="17">
        <f t="shared" ref="E36:E47" si="8">SUM(B36:D36)</f>
        <v>4692788.4637964284</v>
      </c>
      <c r="F36" s="17">
        <f t="shared" ref="F36:F47" si="9">I36-H36</f>
        <v>1551272.5219528244</v>
      </c>
      <c r="G36" s="17">
        <v>246800</v>
      </c>
      <c r="H36" s="17">
        <f>(136262.536+118.268+13549.491+719.087)*2.204622</f>
        <v>332124.94184360403</v>
      </c>
      <c r="I36" s="17">
        <f t="shared" ref="I36:I47" si="10">(E36-J36)</f>
        <v>1883397.4637964284</v>
      </c>
      <c r="J36" s="17">
        <f>2547700+261691</f>
        <v>2809391</v>
      </c>
    </row>
    <row r="37" spans="1:10">
      <c r="A37" t="s">
        <v>188</v>
      </c>
      <c r="B37" s="17">
        <f>+J36</f>
        <v>2809391</v>
      </c>
      <c r="C37" s="17">
        <v>1853955</v>
      </c>
      <c r="D37" s="234">
        <f>(1661.49+0+2673.529+33.209)*2.204622</f>
        <v>9630.291549816</v>
      </c>
      <c r="E37" s="17">
        <f t="shared" si="8"/>
        <v>4672976.2915498158</v>
      </c>
      <c r="F37" s="17">
        <f t="shared" si="9"/>
        <v>1441405.8450678037</v>
      </c>
      <c r="G37" s="17">
        <v>239388</v>
      </c>
      <c r="H37" s="17">
        <f>(89018.672+137.192+19472.689+719.193)*2.204622</f>
        <v>241070.44648201202</v>
      </c>
      <c r="I37" s="17">
        <f t="shared" si="10"/>
        <v>1682476.2915498158</v>
      </c>
      <c r="J37" s="17">
        <f>2712000+278500</f>
        <v>2990500</v>
      </c>
    </row>
    <row r="38" spans="1:10">
      <c r="A38" t="s">
        <v>189</v>
      </c>
      <c r="B38" s="17">
        <f t="shared" ref="B38:B47" si="11">+J37</f>
        <v>2990500</v>
      </c>
      <c r="C38" s="17">
        <v>1898259</v>
      </c>
      <c r="D38" s="234">
        <f>(2580.323+0+2004.798+39.532)*2.204622</f>
        <v>10195.611746166001</v>
      </c>
      <c r="E38" s="17">
        <f t="shared" si="8"/>
        <v>4898954.6117461659</v>
      </c>
      <c r="F38" s="17">
        <f t="shared" si="9"/>
        <v>1358145.2441907439</v>
      </c>
      <c r="G38" s="17">
        <v>236991</v>
      </c>
      <c r="H38" s="17">
        <f>(156263.077+348.372+20319.023+110.929)*2.204622</f>
        <v>390309.36755542207</v>
      </c>
      <c r="I38" s="17">
        <f t="shared" si="10"/>
        <v>1748454.6117461659</v>
      </c>
      <c r="J38" s="17">
        <f>2874700+275800</f>
        <v>3150500</v>
      </c>
    </row>
    <row r="39" spans="1:10">
      <c r="A39" t="s">
        <v>190</v>
      </c>
      <c r="B39" s="17">
        <f t="shared" si="11"/>
        <v>3150500</v>
      </c>
      <c r="C39" s="17">
        <v>1844855.74</v>
      </c>
      <c r="D39" s="234">
        <f>(3823.805+19.232+2332.103+38.917)*2.204622</f>
        <v>13699.646771453999</v>
      </c>
      <c r="E39" s="17">
        <f t="shared" si="8"/>
        <v>5009055.3867714545</v>
      </c>
      <c r="F39" s="17">
        <f t="shared" si="9"/>
        <v>1273502.9440347764</v>
      </c>
      <c r="G39" s="17">
        <v>93713</v>
      </c>
      <c r="H39" s="17">
        <f>(215338.815+218.674+17017.503+509.157)*2.204622</f>
        <v>513862.44273667806</v>
      </c>
      <c r="I39" s="17">
        <f t="shared" si="10"/>
        <v>1787365.3867714545</v>
      </c>
      <c r="J39" s="17">
        <f>2936532+285158</f>
        <v>3221690</v>
      </c>
    </row>
    <row r="40" spans="1:10">
      <c r="A40" t="s">
        <v>191</v>
      </c>
      <c r="B40" s="17">
        <f t="shared" si="11"/>
        <v>3221690</v>
      </c>
      <c r="C40" s="17">
        <v>1690098</v>
      </c>
      <c r="D40" s="234">
        <f>(3429.108+0+2817.937+14.07)*2.204622</f>
        <v>13803.391873529999</v>
      </c>
      <c r="E40" s="17">
        <f t="shared" si="8"/>
        <v>4925591.3918735301</v>
      </c>
      <c r="F40" s="17">
        <f t="shared" si="9"/>
        <v>1230361.0815909239</v>
      </c>
      <c r="G40" s="17">
        <v>109518</v>
      </c>
      <c r="H40" s="17">
        <f>(162903.453+1648.061+16359.722+315.437)*2.204622</f>
        <v>399536.31028260605</v>
      </c>
      <c r="I40" s="17">
        <f t="shared" si="10"/>
        <v>1629897.3918735301</v>
      </c>
      <c r="J40" s="17">
        <f>2994436+301258</f>
        <v>3295694</v>
      </c>
    </row>
    <row r="41" spans="1:10">
      <c r="A41" t="s">
        <v>192</v>
      </c>
      <c r="B41" s="17">
        <f t="shared" si="11"/>
        <v>3295694</v>
      </c>
      <c r="C41" s="17">
        <v>1727705.71</v>
      </c>
      <c r="D41" s="234">
        <f>(280.052+9.2+1634.291+37.674)*2.204622</f>
        <v>4323.7421449739995</v>
      </c>
      <c r="E41" s="17">
        <f t="shared" si="8"/>
        <v>5027723.4521449739</v>
      </c>
      <c r="F41" s="17">
        <f t="shared" si="9"/>
        <v>1302040.5546392901</v>
      </c>
      <c r="G41" s="17">
        <v>133736</v>
      </c>
      <c r="H41" s="17">
        <f>(155132.552+3115.466+26389.549+444.455)*2.204622</f>
        <v>408035.89750568394</v>
      </c>
      <c r="I41" s="17">
        <f t="shared" si="10"/>
        <v>1710076.4521449739</v>
      </c>
      <c r="J41" s="17">
        <f>3048158+269489</f>
        <v>3317647</v>
      </c>
    </row>
    <row r="42" spans="1:10">
      <c r="A42" t="s">
        <v>193</v>
      </c>
      <c r="B42" s="17">
        <f t="shared" si="11"/>
        <v>3317647</v>
      </c>
      <c r="C42" s="17">
        <v>1518120.3</v>
      </c>
      <c r="D42" s="234">
        <f>(1286.61+19.232+2435.488+34.22)*2.204622</f>
        <v>8323.6605920999991</v>
      </c>
      <c r="E42" s="17">
        <f t="shared" si="8"/>
        <v>4844090.9605920995</v>
      </c>
      <c r="F42" s="17">
        <f t="shared" si="9"/>
        <v>1281297.1265738034</v>
      </c>
      <c r="G42" s="17">
        <v>123179</v>
      </c>
      <c r="H42" s="17">
        <f>(53994.097+3563.62+9115.195+459.156)*2.204622</f>
        <v>148000.83401829604</v>
      </c>
      <c r="I42" s="17">
        <f t="shared" si="10"/>
        <v>1429297.9605920995</v>
      </c>
      <c r="J42" s="17">
        <f>3151812+262981</f>
        <v>3414793</v>
      </c>
    </row>
    <row r="43" spans="1:10">
      <c r="A43" t="s">
        <v>196</v>
      </c>
      <c r="B43" s="17">
        <f t="shared" si="11"/>
        <v>3414793</v>
      </c>
      <c r="C43" s="17">
        <v>1481564.85</v>
      </c>
      <c r="D43" s="234">
        <f>(270.003+0+4582.288+31.136)*2.204622</f>
        <v>10766.110599594</v>
      </c>
      <c r="E43" s="17">
        <f t="shared" si="8"/>
        <v>4907123.9605995938</v>
      </c>
      <c r="F43" s="17">
        <f t="shared" si="9"/>
        <v>1307987.4361170598</v>
      </c>
      <c r="G43" s="17">
        <v>106503</v>
      </c>
      <c r="H43" s="17">
        <f>(25541.158+243.825+8816.729+424.485)*2.204622</f>
        <v>77219.524482534005</v>
      </c>
      <c r="I43" s="17">
        <f t="shared" si="10"/>
        <v>1385206.9605995938</v>
      </c>
      <c r="J43" s="17">
        <f>3237012+284905</f>
        <v>3521917</v>
      </c>
    </row>
    <row r="44" spans="1:10">
      <c r="A44" t="s">
        <v>194</v>
      </c>
      <c r="B44" s="17">
        <f t="shared" si="11"/>
        <v>3521917</v>
      </c>
      <c r="C44" s="17">
        <v>1442238.9</v>
      </c>
      <c r="D44" s="234">
        <f>(215.463+0+2268.523+28.2)*2.204622</f>
        <v>5538.4205236920006</v>
      </c>
      <c r="E44" s="17">
        <f t="shared" si="8"/>
        <v>4969694.3205236923</v>
      </c>
      <c r="F44" s="17">
        <f t="shared" si="9"/>
        <v>1243152.4655536884</v>
      </c>
      <c r="G44" s="17">
        <v>94804</v>
      </c>
      <c r="H44" s="17">
        <f>(43654.64+298.281+14165.984+421.677)*2.204622</f>
        <v>129059.85497000402</v>
      </c>
      <c r="I44" s="17">
        <f t="shared" si="10"/>
        <v>1372212.3205236923</v>
      </c>
      <c r="J44" s="17">
        <f>3297846+299636</f>
        <v>3597482</v>
      </c>
    </row>
    <row r="45" spans="1:10">
      <c r="A45" t="s">
        <v>195</v>
      </c>
      <c r="B45" s="17">
        <f t="shared" si="11"/>
        <v>3597482</v>
      </c>
      <c r="C45" s="17">
        <v>1440451.02</v>
      </c>
      <c r="D45" s="234">
        <f>(139.41+12+2598.508+32.316)*2.204622</f>
        <v>6133.7742855479992</v>
      </c>
      <c r="E45" s="17">
        <f t="shared" si="8"/>
        <v>5044066.7942855479</v>
      </c>
      <c r="F45" s="17">
        <f t="shared" si="9"/>
        <v>1270650.8633366758</v>
      </c>
      <c r="G45" s="17">
        <v>103575</v>
      </c>
      <c r="H45" s="17">
        <f>(73854.937+167.281+7144.5+184.158)*2.204622</f>
        <v>179347.930948872</v>
      </c>
      <c r="I45" s="17">
        <f t="shared" si="10"/>
        <v>1449998.7942855479</v>
      </c>
      <c r="J45" s="17">
        <f>3312471+281597</f>
        <v>3594068</v>
      </c>
    </row>
    <row r="46" spans="1:10">
      <c r="A46" t="s">
        <v>205</v>
      </c>
      <c r="B46" s="17">
        <f t="shared" si="11"/>
        <v>3594068</v>
      </c>
      <c r="C46" s="17">
        <v>1418447.8</v>
      </c>
      <c r="D46" s="234">
        <f>(162.42+0+3548.555+22.157)*2.204622</f>
        <v>8230.1449361040013</v>
      </c>
      <c r="E46" s="17">
        <f t="shared" si="8"/>
        <v>5020745.9449361041</v>
      </c>
      <c r="F46" s="17">
        <f t="shared" si="9"/>
        <v>1317294.1507550301</v>
      </c>
      <c r="G46" s="17">
        <v>95755</v>
      </c>
      <c r="H46" s="17">
        <f>(155958.77+85.878+9452.7+341.419)*2.204622</f>
        <v>365611.79418107402</v>
      </c>
      <c r="I46" s="17">
        <f t="shared" si="10"/>
        <v>1682905.9449361041</v>
      </c>
      <c r="J46" s="17">
        <f>3081425+256415</f>
        <v>3337840</v>
      </c>
    </row>
    <row r="47" spans="1:10">
      <c r="A47" t="s">
        <v>186</v>
      </c>
      <c r="B47" s="17">
        <f t="shared" si="11"/>
        <v>3337840</v>
      </c>
      <c r="C47" s="17">
        <v>1474417.2</v>
      </c>
      <c r="D47" s="234">
        <f>(166.571+7+1986.609+38.086)*2.204622</f>
        <v>4846.3455854519998</v>
      </c>
      <c r="E47" s="17">
        <f t="shared" si="8"/>
        <v>4817103.5455854526</v>
      </c>
      <c r="F47" s="17">
        <f t="shared" si="9"/>
        <v>1236835.9198885367</v>
      </c>
      <c r="G47" s="17">
        <v>96341</v>
      </c>
      <c r="H47" s="17">
        <f>(70158.916+94.777+8598.87+293.715)*2.204622</f>
        <v>174487.62569691599</v>
      </c>
      <c r="I47" s="17">
        <f t="shared" si="10"/>
        <v>1411323.5455854526</v>
      </c>
      <c r="J47" s="17">
        <f>3127263+278517</f>
        <v>3405780</v>
      </c>
    </row>
    <row r="48" spans="1:10">
      <c r="A48" s="38" t="s">
        <v>382</v>
      </c>
      <c r="B48" s="17"/>
      <c r="C48" s="17">
        <f>SUM(C36:C47)</f>
        <v>19615313.52</v>
      </c>
      <c r="D48" s="234">
        <f>SUM(D36:D47)</f>
        <v>102579.60440485799</v>
      </c>
      <c r="E48" s="17">
        <f>B36+C48+D48</f>
        <v>22578393.124404859</v>
      </c>
      <c r="F48" s="17">
        <f>SUM(F36:F47)</f>
        <v>15813946.153701156</v>
      </c>
      <c r="G48" s="17">
        <f>SUM(G36:G47)</f>
        <v>1680303</v>
      </c>
      <c r="H48" s="17">
        <f>SUM(H36:H47)</f>
        <v>3358666.970703702</v>
      </c>
      <c r="I48" s="17">
        <f>SUM(I36:I47)</f>
        <v>19172613.124404859</v>
      </c>
      <c r="J48" s="17"/>
    </row>
    <row r="49" spans="1:10">
      <c r="A49" s="107" t="s">
        <v>420</v>
      </c>
      <c r="B49" s="17"/>
      <c r="C49" s="67"/>
      <c r="D49" s="67"/>
      <c r="E49" s="67"/>
      <c r="F49" s="67"/>
      <c r="G49" s="67"/>
      <c r="H49" s="67"/>
      <c r="I49" s="67"/>
      <c r="J49" s="17"/>
    </row>
    <row r="50" spans="1:10">
      <c r="A50" t="s">
        <v>187</v>
      </c>
      <c r="B50" s="17">
        <f>+J47</f>
        <v>3405780</v>
      </c>
      <c r="C50" s="17">
        <v>1790543.39</v>
      </c>
      <c r="D50" s="234">
        <f>(819.417+0+2665.457+34.172)*2.204622</f>
        <v>7758.1662306119997</v>
      </c>
      <c r="E50" s="17">
        <f t="shared" ref="E50:E61" si="12">SUM(B50:D50)</f>
        <v>5204081.5562306121</v>
      </c>
      <c r="F50" s="17">
        <f t="shared" ref="F50:F61" si="13">I50-H50</f>
        <v>1478813.626352526</v>
      </c>
      <c r="G50" s="17">
        <v>102262</v>
      </c>
      <c r="H50" s="17">
        <f>(179782.844+95.695+19259.311+581.163)*2.204622</f>
        <v>440304.92987808608</v>
      </c>
      <c r="I50" s="17">
        <f t="shared" ref="I50:I61" si="14">(E50-J50)</f>
        <v>1919118.5562306121</v>
      </c>
      <c r="J50" s="17">
        <f>3010655+274308</f>
        <v>3284963</v>
      </c>
    </row>
    <row r="51" spans="1:10">
      <c r="A51" t="s">
        <v>188</v>
      </c>
      <c r="B51" s="17">
        <f>+J50</f>
        <v>3284963</v>
      </c>
      <c r="C51" s="17">
        <v>1771201.2</v>
      </c>
      <c r="D51" s="234">
        <f>(4839.373+0+3066.841+7.64)*2.204622</f>
        <v>17447.056633188</v>
      </c>
      <c r="E51" s="17">
        <f t="shared" si="12"/>
        <v>5073611.2566331886</v>
      </c>
      <c r="F51" s="17">
        <f t="shared" si="13"/>
        <v>1291619.1662994465</v>
      </c>
      <c r="G51" s="17">
        <v>70455</v>
      </c>
      <c r="H51" s="17">
        <f>(181206.649+3502.407+11373.843+104.062)*2.204622</f>
        <v>432518.09033374203</v>
      </c>
      <c r="I51" s="17">
        <f t="shared" si="14"/>
        <v>1724137.2566331886</v>
      </c>
      <c r="J51" s="17">
        <f>3049295+300179</f>
        <v>3349474</v>
      </c>
    </row>
    <row r="52" spans="1:10">
      <c r="A52" t="s">
        <v>189</v>
      </c>
      <c r="B52" s="17">
        <f t="shared" ref="B52:B61" si="15">+J51</f>
        <v>3349474</v>
      </c>
      <c r="C52" s="17">
        <v>1731506.15</v>
      </c>
      <c r="D52" s="234">
        <f>(5320.398+0+2940.72+11.44)*2.204622</f>
        <v>18237.863363076001</v>
      </c>
      <c r="E52" s="17">
        <f t="shared" si="12"/>
        <v>5099218.0133630764</v>
      </c>
      <c r="F52" s="17">
        <f t="shared" si="13"/>
        <v>1172812.3896944083</v>
      </c>
      <c r="G52" s="17">
        <v>53884</v>
      </c>
      <c r="H52" s="17">
        <f>(152901.749+2637.656+23212.57+174.219)*2.204622</f>
        <v>394464.62366866803</v>
      </c>
      <c r="I52" s="17">
        <f t="shared" si="14"/>
        <v>1567277.0133630764</v>
      </c>
      <c r="J52" s="17">
        <f>3220826+311115</f>
        <v>3531941</v>
      </c>
    </row>
    <row r="53" spans="1:10">
      <c r="A53" t="s">
        <v>190</v>
      </c>
      <c r="B53" s="17">
        <f t="shared" si="15"/>
        <v>3531941</v>
      </c>
      <c r="C53" s="17">
        <v>1722940</v>
      </c>
      <c r="D53" s="234">
        <f>(3291.981+0+3254.544+0.2)*2.204622</f>
        <v>14433.05396295</v>
      </c>
      <c r="E53" s="17">
        <f t="shared" si="12"/>
        <v>5269314.0539629497</v>
      </c>
      <c r="F53" s="17">
        <f t="shared" si="13"/>
        <v>1387659.7552331097</v>
      </c>
      <c r="G53" s="17">
        <v>110421</v>
      </c>
      <c r="H53" s="17">
        <f>(202239.121+77.38+9067.088+108.131)*2.204622</f>
        <v>466259.29872984003</v>
      </c>
      <c r="I53" s="17">
        <f t="shared" si="14"/>
        <v>1853919.0539629497</v>
      </c>
      <c r="J53" s="17">
        <f>3078691+336704</f>
        <v>3415395</v>
      </c>
    </row>
    <row r="54" spans="1:10">
      <c r="A54" t="s">
        <v>191</v>
      </c>
      <c r="B54" s="17">
        <f t="shared" si="15"/>
        <v>3415395</v>
      </c>
      <c r="C54" s="17">
        <v>1500030</v>
      </c>
      <c r="D54" s="234">
        <f>(3175.423+0+4126.911+5.213)*2.204622</f>
        <v>16110.378882233999</v>
      </c>
      <c r="E54" s="17">
        <f t="shared" si="12"/>
        <v>4931535.378882234</v>
      </c>
      <c r="F54" s="17">
        <f t="shared" si="13"/>
        <v>1254879.7533658119</v>
      </c>
      <c r="G54" s="17">
        <v>112647</v>
      </c>
      <c r="H54" s="17">
        <f>(118832.443+3521.624+13687.893+574.941)*2.204622</f>
        <v>301188.62551642198</v>
      </c>
      <c r="I54" s="17">
        <f t="shared" si="14"/>
        <v>1556068.378882234</v>
      </c>
      <c r="J54" s="17">
        <f>3075062+300405</f>
        <v>3375467</v>
      </c>
    </row>
    <row r="55" spans="1:10">
      <c r="A55" t="s">
        <v>192</v>
      </c>
      <c r="B55" s="17">
        <f t="shared" si="15"/>
        <v>3375467</v>
      </c>
      <c r="C55" s="17">
        <v>1623774</v>
      </c>
      <c r="D55" s="234">
        <f>(1495.313+0+4447.852+1.508)*2.204622</f>
        <v>13105.756878606</v>
      </c>
      <c r="E55" s="17">
        <f t="shared" si="12"/>
        <v>5012346.756878606</v>
      </c>
      <c r="F55" s="17">
        <f t="shared" si="13"/>
        <v>1272407.5298265081</v>
      </c>
      <c r="G55" s="17">
        <v>176313</v>
      </c>
      <c r="H55" s="17">
        <f>(139214.028+79.175+10121.912+337.644)*2.204622</f>
        <v>330148.22705209797</v>
      </c>
      <c r="I55" s="17">
        <f t="shared" si="14"/>
        <v>1602555.756878606</v>
      </c>
      <c r="J55" s="17">
        <f>3109849+299942</f>
        <v>3409791</v>
      </c>
    </row>
    <row r="56" spans="1:10">
      <c r="A56" t="s">
        <v>193</v>
      </c>
      <c r="B56" s="17">
        <f t="shared" si="15"/>
        <v>3409791</v>
      </c>
      <c r="C56" s="17">
        <v>1504598</v>
      </c>
      <c r="D56" s="234">
        <f>(403.164+0+5901.121+1.472)*2.204622</f>
        <v>13901.810608853999</v>
      </c>
      <c r="E56" s="17">
        <f t="shared" si="12"/>
        <v>4928290.8106088536</v>
      </c>
      <c r="F56" s="17">
        <f t="shared" si="13"/>
        <v>1397646.6538427935</v>
      </c>
      <c r="G56" s="17">
        <v>216769</v>
      </c>
      <c r="H56" s="17">
        <f>(75823.413+1139.657+8389.42+184.24)*2.204622</f>
        <v>188576.15676606004</v>
      </c>
      <c r="I56" s="17">
        <f t="shared" si="14"/>
        <v>1586222.8106088536</v>
      </c>
      <c r="J56" s="17">
        <f>3010398+331670</f>
        <v>3342068</v>
      </c>
    </row>
    <row r="57" spans="1:10">
      <c r="A57" t="s">
        <v>196</v>
      </c>
      <c r="B57" s="17">
        <f t="shared" si="15"/>
        <v>3342068</v>
      </c>
      <c r="C57" s="17">
        <v>1491195</v>
      </c>
      <c r="D57" s="234">
        <f>(814.147+0+4736.942+1.724)*2.204622</f>
        <v>12241.853701686001</v>
      </c>
      <c r="E57" s="17">
        <f t="shared" si="12"/>
        <v>4845504.8537016856</v>
      </c>
      <c r="F57" s="17">
        <f t="shared" si="13"/>
        <v>1576493.7764327575</v>
      </c>
      <c r="G57" s="17">
        <v>235312</v>
      </c>
      <c r="H57" s="17">
        <f>(29955.857+1591.942+9839.322+201.903)*2.204622</f>
        <v>91688.077268927998</v>
      </c>
      <c r="I57" s="17">
        <f t="shared" si="14"/>
        <v>1668181.8537016856</v>
      </c>
      <c r="J57" s="17">
        <f>2917354+259969</f>
        <v>3177323</v>
      </c>
    </row>
    <row r="58" spans="1:10">
      <c r="A58" t="s">
        <v>194</v>
      </c>
      <c r="B58" s="17">
        <f t="shared" si="15"/>
        <v>3177323</v>
      </c>
      <c r="C58" s="17">
        <v>1437997</v>
      </c>
      <c r="D58" s="234">
        <f>(374.637+0+5123.419+62.229)*2.204622</f>
        <v>12258.32663727</v>
      </c>
      <c r="E58" s="17">
        <f t="shared" si="12"/>
        <v>4627578.3266372699</v>
      </c>
      <c r="F58" s="17">
        <f t="shared" si="13"/>
        <v>1344828.4075209498</v>
      </c>
      <c r="G58" s="17">
        <v>293702</v>
      </c>
      <c r="H58" s="17">
        <f>(48941.832+1445.761+8302.158+134.809)*2.204622</f>
        <v>129685.91911632002</v>
      </c>
      <c r="I58" s="17">
        <f t="shared" si="14"/>
        <v>1474514.3266372699</v>
      </c>
      <c r="J58" s="17">
        <f>2868184+284880</f>
        <v>3153064</v>
      </c>
    </row>
    <row r="59" spans="1:10">
      <c r="A59" t="s">
        <v>195</v>
      </c>
      <c r="B59" s="17">
        <f t="shared" si="15"/>
        <v>3153064</v>
      </c>
      <c r="C59" s="17">
        <v>1504674</v>
      </c>
      <c r="D59" s="234">
        <f>(257.985+0+4658.192+0)*2.204622</f>
        <v>10838.311970094001</v>
      </c>
      <c r="E59" s="17">
        <f t="shared" si="12"/>
        <v>4668576.3119700942</v>
      </c>
      <c r="F59" s="17">
        <f t="shared" si="13"/>
        <v>1419762.9641650321</v>
      </c>
      <c r="G59" s="17">
        <v>342924</v>
      </c>
      <c r="H59" s="17">
        <f>(45456.366+955.049+7901.32+101.286)*2.204622</f>
        <v>119962.347805062</v>
      </c>
      <c r="I59" s="17">
        <f t="shared" si="14"/>
        <v>1539725.3119700942</v>
      </c>
      <c r="J59" s="17">
        <f>2824308+304543</f>
        <v>3128851</v>
      </c>
    </row>
    <row r="60" spans="1:10">
      <c r="A60" t="s">
        <v>205</v>
      </c>
      <c r="B60" s="17">
        <f t="shared" si="15"/>
        <v>3128851</v>
      </c>
      <c r="C60" s="17">
        <v>1458750</v>
      </c>
      <c r="D60" s="234">
        <f>(121.648+0+5978.907+0.2)*2.204622</f>
        <v>13449.858689610001</v>
      </c>
      <c r="E60" s="17">
        <f t="shared" si="12"/>
        <v>4601050.8586896099</v>
      </c>
      <c r="F60" s="17">
        <f t="shared" si="13"/>
        <v>1618370.370322688</v>
      </c>
      <c r="G60" s="17">
        <v>401221.08000000007</v>
      </c>
      <c r="H60" s="17">
        <f>(44303.026+126.176+7418.814+141.635)*2.204622</f>
        <v>114617.52836692199</v>
      </c>
      <c r="I60" s="17">
        <f t="shared" si="14"/>
        <v>1732987.89868961</v>
      </c>
      <c r="J60" s="17">
        <v>2868062.96</v>
      </c>
    </row>
    <row r="61" spans="1:10">
      <c r="A61" t="s">
        <v>186</v>
      </c>
      <c r="B61" s="17">
        <f t="shared" si="15"/>
        <v>2868062.96</v>
      </c>
      <c r="C61" s="17">
        <v>1350373.78</v>
      </c>
      <c r="D61" s="234">
        <f>(155.713+0+4024.771+1.119)*2.204622</f>
        <v>9218.853969066</v>
      </c>
      <c r="E61" s="17">
        <f t="shared" si="12"/>
        <v>4227655.5939690666</v>
      </c>
      <c r="F61" s="17">
        <f t="shared" si="13"/>
        <v>1578787.7510764566</v>
      </c>
      <c r="G61" s="17">
        <v>434121.20856000017</v>
      </c>
      <c r="H61" s="17">
        <f>(94248.522+309.172+6711.905+117.656)*2.204622</f>
        <v>223520.57289261001</v>
      </c>
      <c r="I61" s="17">
        <f t="shared" si="14"/>
        <v>1802308.3239690666</v>
      </c>
      <c r="J61" s="17">
        <v>2425347.27</v>
      </c>
    </row>
    <row r="62" spans="1:10">
      <c r="A62" s="38" t="s">
        <v>382</v>
      </c>
      <c r="B62" s="17"/>
      <c r="C62" s="17">
        <f>SUM(C50:C61)</f>
        <v>18887582.520000003</v>
      </c>
      <c r="D62" s="234">
        <f>SUM(D50:D61)</f>
        <v>159001.29152724601</v>
      </c>
      <c r="E62" s="17">
        <f>B50+C62+D62</f>
        <v>22452363.811527248</v>
      </c>
      <c r="F62" s="17">
        <f>SUM(F50:F61)</f>
        <v>16794082.144132487</v>
      </c>
      <c r="G62" s="17">
        <f>SUM(G50:G61)</f>
        <v>2550031.2885600002</v>
      </c>
      <c r="H62" s="17">
        <f>SUM(H50:H61)</f>
        <v>3232934.3973947582</v>
      </c>
      <c r="I62" s="17">
        <f>SUM(I50:I61)</f>
        <v>20027016.541527245</v>
      </c>
      <c r="J62" s="17"/>
    </row>
    <row r="63" spans="1:10">
      <c r="A63" s="107" t="s">
        <v>495</v>
      </c>
      <c r="B63" s="38"/>
      <c r="C63" s="76"/>
      <c r="D63" s="76"/>
      <c r="E63" s="76"/>
      <c r="F63" s="67"/>
      <c r="G63" s="67"/>
      <c r="H63" s="67"/>
      <c r="I63" s="67"/>
      <c r="J63" s="67"/>
    </row>
    <row r="64" spans="1:10">
      <c r="A64" t="s">
        <v>187</v>
      </c>
      <c r="B64" s="17">
        <v>1854818</v>
      </c>
      <c r="C64" s="17">
        <v>1962937</v>
      </c>
      <c r="D64" s="234">
        <f>(11263.021+0+8383.554+0)*2.204622</f>
        <v>43313.271469650004</v>
      </c>
      <c r="E64" s="17">
        <f>B64+C64+D64</f>
        <v>3861068.2714696499</v>
      </c>
      <c r="F64" s="17">
        <f>I64-H64</f>
        <v>1741066.7282298219</v>
      </c>
      <c r="G64" s="67">
        <v>407750</v>
      </c>
      <c r="H64" s="17">
        <f>(68457.137+168.758+12516.928+337.151)*2.204622</f>
        <v>179632.54323982802</v>
      </c>
      <c r="I64" s="17">
        <f t="shared" ref="I64:I75" si="16">(E64-J64)</f>
        <v>1920699.2714696499</v>
      </c>
      <c r="J64" s="224">
        <f>1569861+370508</f>
        <v>1940369</v>
      </c>
    </row>
    <row r="65" spans="1:10">
      <c r="A65" t="s">
        <v>188</v>
      </c>
      <c r="B65" s="17">
        <f>J64</f>
        <v>1940369</v>
      </c>
      <c r="C65" s="17">
        <v>1901853</v>
      </c>
      <c r="D65" s="234">
        <f>(404.275+20.412+7673.322+0)*2.204622</f>
        <v>17853.048797598</v>
      </c>
      <c r="E65" s="17">
        <f t="shared" ref="E65:E75" si="17">B65+C65+D65</f>
        <v>3860075.0487975981</v>
      </c>
      <c r="F65" s="17">
        <f t="shared" ref="F65:F75" si="18">I65-H65</f>
        <v>1661212.8644706982</v>
      </c>
      <c r="G65" s="67">
        <v>463630</v>
      </c>
      <c r="H65" s="17">
        <f>(96450.176+52.248+8912.495+274.031)*2.204622</f>
        <v>233004.18432690002</v>
      </c>
      <c r="I65" s="17">
        <f t="shared" si="16"/>
        <v>1894217.0487975981</v>
      </c>
      <c r="J65" s="224">
        <f>1545181+420677</f>
        <v>1965858</v>
      </c>
    </row>
    <row r="66" spans="1:10">
      <c r="A66" t="s">
        <v>189</v>
      </c>
      <c r="B66" s="17">
        <f t="shared" ref="B66:B75" si="19">J65</f>
        <v>1965858</v>
      </c>
      <c r="C66" s="17">
        <v>1929027</v>
      </c>
      <c r="D66" s="234">
        <f>(426.012+0+9716.081+0)*2.204622</f>
        <v>22359.481353846004</v>
      </c>
      <c r="E66" s="17">
        <f t="shared" si="17"/>
        <v>3917244.4813538459</v>
      </c>
      <c r="F66" s="17">
        <f t="shared" si="18"/>
        <v>1623989.2890065599</v>
      </c>
      <c r="G66" s="67">
        <v>435620</v>
      </c>
      <c r="H66" s="17">
        <f>(127771.858+163.223+17227.472+325.06)*2.204622</f>
        <v>320745.19234728598</v>
      </c>
      <c r="I66" s="17">
        <f t="shared" si="16"/>
        <v>1944734.4813538459</v>
      </c>
      <c r="J66" s="224">
        <f>1576849+395661</f>
        <v>1972510</v>
      </c>
    </row>
    <row r="67" spans="1:10">
      <c r="A67" t="s">
        <v>190</v>
      </c>
      <c r="B67" s="17">
        <f t="shared" si="19"/>
        <v>1972510</v>
      </c>
      <c r="C67" s="17">
        <v>1864887</v>
      </c>
      <c r="D67" s="234">
        <f>(661.65+0+6999.396+0)*2.204622</f>
        <v>16889.710554612</v>
      </c>
      <c r="E67" s="17">
        <f t="shared" si="17"/>
        <v>3854286.7105546119</v>
      </c>
      <c r="F67" s="17">
        <f t="shared" si="18"/>
        <v>1576553.3936106698</v>
      </c>
      <c r="G67" s="67">
        <v>392270</v>
      </c>
      <c r="H67" s="17">
        <f>(64298.556+202.493+10705.986+514.026)*2.204622</f>
        <v>166936.31694394202</v>
      </c>
      <c r="I67" s="17">
        <f t="shared" si="16"/>
        <v>1743489.7105546119</v>
      </c>
      <c r="J67" s="224">
        <f>1724459+386338</f>
        <v>2110797</v>
      </c>
    </row>
    <row r="68" spans="1:10">
      <c r="A68" t="s">
        <v>191</v>
      </c>
      <c r="B68" s="17">
        <f t="shared" si="19"/>
        <v>2110797</v>
      </c>
      <c r="C68" s="17">
        <v>1795866</v>
      </c>
      <c r="D68" s="234">
        <f>(6983.861+0+5636.542+0)*2.204622</f>
        <v>27823.218102666</v>
      </c>
      <c r="E68" s="17">
        <f t="shared" si="17"/>
        <v>3934486.2181026661</v>
      </c>
      <c r="F68" s="17">
        <f t="shared" si="18"/>
        <v>1539623.2803150842</v>
      </c>
      <c r="G68" s="67">
        <v>394760</v>
      </c>
      <c r="H68" s="17">
        <f>(39741.744+144.371+11864.2+270.366)*2.204622</f>
        <v>114685.93778758201</v>
      </c>
      <c r="I68" s="17">
        <f t="shared" si="16"/>
        <v>1654309.2181026661</v>
      </c>
      <c r="J68" s="224">
        <f>1880210+399967</f>
        <v>2280177</v>
      </c>
    </row>
    <row r="69" spans="1:10">
      <c r="A69" t="s">
        <v>192</v>
      </c>
      <c r="B69" s="17">
        <f t="shared" si="19"/>
        <v>2280177</v>
      </c>
      <c r="C69" s="17">
        <v>1943537</v>
      </c>
      <c r="D69" s="234">
        <f>(591.834+0+7456.81+0)*2.204622</f>
        <v>17744.217632568001</v>
      </c>
      <c r="E69" s="17">
        <f t="shared" si="17"/>
        <v>4241458.2176325684</v>
      </c>
      <c r="F69" s="17">
        <f t="shared" si="18"/>
        <v>1683407.9475453284</v>
      </c>
      <c r="G69" s="67">
        <v>464480</v>
      </c>
      <c r="H69" s="17">
        <f>(90421.404+568.24+14369.382+384.394)*2.204622</f>
        <v>233124.27008724</v>
      </c>
      <c r="I69" s="17">
        <f t="shared" si="16"/>
        <v>1916532.2176325684</v>
      </c>
      <c r="J69" s="224">
        <f>1956599+368327</f>
        <v>2324926</v>
      </c>
    </row>
    <row r="70" spans="1:10">
      <c r="A70" t="s">
        <v>193</v>
      </c>
      <c r="B70" s="17">
        <f t="shared" si="19"/>
        <v>2324926</v>
      </c>
      <c r="C70" s="17">
        <v>1840263</v>
      </c>
      <c r="D70" s="234">
        <f>(3550.44+0+9479.238+0.48)*2.204622</f>
        <v>28726.572990275999</v>
      </c>
      <c r="E70" s="17">
        <f t="shared" si="17"/>
        <v>4193915.5729902759</v>
      </c>
      <c r="F70" s="17">
        <f t="shared" si="18"/>
        <v>1648122.4901599279</v>
      </c>
      <c r="G70" s="67">
        <v>414750</v>
      </c>
      <c r="H70" s="17">
        <f>(43735.649+152.257+12684.186+478.542)*2.204622</f>
        <v>125775.08283034799</v>
      </c>
      <c r="I70" s="17">
        <f t="shared" si="16"/>
        <v>1773897.5729902759</v>
      </c>
      <c r="J70" s="224">
        <f>2048554+371464</f>
        <v>2420018</v>
      </c>
    </row>
    <row r="71" spans="1:10">
      <c r="A71" t="s">
        <v>200</v>
      </c>
      <c r="B71" s="17">
        <f t="shared" si="19"/>
        <v>2420018</v>
      </c>
      <c r="C71" s="17">
        <v>1876184</v>
      </c>
      <c r="D71" s="234">
        <f>(629.094+1.199+14398.052+0)*2.204622</f>
        <v>33131.820010590003</v>
      </c>
      <c r="E71" s="17">
        <f t="shared" si="17"/>
        <v>4329333.8200105904</v>
      </c>
      <c r="F71" s="17">
        <f t="shared" si="18"/>
        <v>1759376.8829391883</v>
      </c>
      <c r="G71" s="67">
        <v>543780</v>
      </c>
      <c r="H71" s="17">
        <f>(35456.096+189.388+11250.035+195.972)*2.204622</f>
        <v>103818.937071402</v>
      </c>
      <c r="I71" s="17">
        <f t="shared" si="16"/>
        <v>1863195.8200105904</v>
      </c>
      <c r="J71" s="224">
        <f>2063240+402898</f>
        <v>2466138</v>
      </c>
    </row>
    <row r="72" spans="1:10">
      <c r="A72" t="s">
        <v>194</v>
      </c>
      <c r="B72" s="17">
        <f t="shared" si="19"/>
        <v>2466138</v>
      </c>
      <c r="C72" s="17">
        <v>1787234</v>
      </c>
      <c r="D72" s="234">
        <f>(596.642+0.579+6779.714+21.75)*2.204622</f>
        <v>16311.303722069999</v>
      </c>
      <c r="E72" s="17">
        <f t="shared" si="17"/>
        <v>4269683.3037220696</v>
      </c>
      <c r="F72" s="17">
        <f t="shared" si="18"/>
        <v>1687023.9349690736</v>
      </c>
      <c r="G72" s="67">
        <v>519690</v>
      </c>
      <c r="H72" s="17">
        <f>(58786.371+182.565+12592.14+344.842)*2.204622</f>
        <v>158525.36875299603</v>
      </c>
      <c r="I72" s="17">
        <f t="shared" si="16"/>
        <v>1845549.3037220696</v>
      </c>
      <c r="J72" s="224">
        <f>2042738+381396</f>
        <v>2424134</v>
      </c>
    </row>
    <row r="73" spans="1:10">
      <c r="A73" t="s">
        <v>195</v>
      </c>
      <c r="B73" s="17">
        <f t="shared" si="19"/>
        <v>2424134</v>
      </c>
      <c r="C73" s="17">
        <v>1789356</v>
      </c>
      <c r="D73" s="234">
        <f>(492.863+0+7173.58+0)*2.204622</f>
        <v>16901.608899546001</v>
      </c>
      <c r="E73" s="17">
        <f t="shared" si="17"/>
        <v>4230391.6088995459</v>
      </c>
      <c r="F73" s="17">
        <f t="shared" si="18"/>
        <v>1737098.6812410299</v>
      </c>
      <c r="G73" s="67">
        <v>535600</v>
      </c>
      <c r="H73" s="17">
        <f>(106944.346+201.312+19122.929+290.491)*2.204622</f>
        <v>279014.92765851604</v>
      </c>
      <c r="I73" s="17">
        <f t="shared" si="16"/>
        <v>2016113.6088995459</v>
      </c>
      <c r="J73" s="224">
        <f>1865797+348481</f>
        <v>2214278</v>
      </c>
    </row>
    <row r="74" spans="1:10">
      <c r="A74" t="s">
        <v>205</v>
      </c>
      <c r="B74" s="17">
        <f t="shared" si="19"/>
        <v>2214278</v>
      </c>
      <c r="C74" s="17">
        <v>1642478</v>
      </c>
      <c r="D74" s="234">
        <f>(441.51+0+10970.187+18.574)*2.204622</f>
        <v>25199.426912562001</v>
      </c>
      <c r="E74" s="17">
        <f t="shared" si="17"/>
        <v>3881955.426912562</v>
      </c>
      <c r="F74" s="17">
        <f t="shared" si="18"/>
        <v>1796842.2494858881</v>
      </c>
      <c r="G74" s="67">
        <v>561040</v>
      </c>
      <c r="H74" s="17">
        <f>(31239.263+90.549+13409.825+333.93)*2.204622</f>
        <v>99370.17742667401</v>
      </c>
      <c r="I74" s="17">
        <f t="shared" si="16"/>
        <v>1896212.426912562</v>
      </c>
      <c r="J74" s="224">
        <f>1666531+319212</f>
        <v>1985743</v>
      </c>
    </row>
    <row r="75" spans="1:10">
      <c r="A75" t="s">
        <v>186</v>
      </c>
      <c r="B75" s="17">
        <f t="shared" si="19"/>
        <v>1985743</v>
      </c>
      <c r="C75" s="17">
        <v>1616609</v>
      </c>
      <c r="D75" s="234">
        <f>(341.494+0+8866.195+0)*2.204622</f>
        <v>20299.473738558001</v>
      </c>
      <c r="E75" s="17">
        <f t="shared" si="17"/>
        <v>3622651.4737385581</v>
      </c>
      <c r="F75" s="17">
        <f t="shared" si="18"/>
        <v>1707930.1805705342</v>
      </c>
      <c r="G75" s="67">
        <v>536840</v>
      </c>
      <c r="H75" s="17">
        <f>(92870.205+183.707+9768.901+554.679)*2.204622</f>
        <v>227908.29316802401</v>
      </c>
      <c r="I75" s="17">
        <f t="shared" si="16"/>
        <v>1935838.4737385581</v>
      </c>
      <c r="J75" s="224">
        <f>1417400+269413</f>
        <v>1686813</v>
      </c>
    </row>
    <row r="76" spans="1:10">
      <c r="A76" s="38" t="s">
        <v>354</v>
      </c>
      <c r="B76" s="17"/>
      <c r="C76" s="17">
        <f>SUM(C64:C75)</f>
        <v>21950231</v>
      </c>
      <c r="D76" s="234">
        <f>SUM(D64:D75)</f>
        <v>286553.15418454207</v>
      </c>
      <c r="E76" s="17">
        <f>B64+C76+D76</f>
        <v>24091602.154184543</v>
      </c>
      <c r="F76" s="17">
        <f>SUM(F64:F75)</f>
        <v>20162247.922543805</v>
      </c>
      <c r="G76" s="17">
        <f>SUM(G64:G75)</f>
        <v>5670210</v>
      </c>
      <c r="H76" s="17">
        <f>SUM(H64:H75)</f>
        <v>2242541.231640738</v>
      </c>
      <c r="I76" s="17">
        <f>SUM(I64:I75)</f>
        <v>22404789.154184543</v>
      </c>
      <c r="J76" s="17"/>
    </row>
    <row r="77" spans="1:10">
      <c r="A77" s="107" t="s">
        <v>498</v>
      </c>
      <c r="B77" s="38"/>
      <c r="C77" s="76"/>
      <c r="D77" s="76"/>
      <c r="E77" s="76"/>
      <c r="F77" s="67"/>
      <c r="G77" s="67"/>
      <c r="H77" s="67"/>
      <c r="I77" s="67"/>
      <c r="J77" s="67"/>
    </row>
    <row r="78" spans="1:10">
      <c r="A78" t="s">
        <v>187</v>
      </c>
      <c r="B78" s="17">
        <v>1686813</v>
      </c>
      <c r="C78" s="243">
        <v>2028518</v>
      </c>
      <c r="D78" s="244">
        <v>14430.538489248</v>
      </c>
      <c r="E78" s="17">
        <f>B78+C78+D78</f>
        <v>3729761.5384892481</v>
      </c>
      <c r="F78" s="17">
        <f>I78-H78</f>
        <v>1693468.4488477521</v>
      </c>
      <c r="G78" s="224">
        <v>525960</v>
      </c>
      <c r="H78" s="243">
        <v>240982.08964149602</v>
      </c>
      <c r="I78" s="17">
        <f t="shared" ref="I78:I89" si="20">(E78-J78)</f>
        <v>1934450.5384892481</v>
      </c>
      <c r="J78" s="224">
        <v>1795311</v>
      </c>
    </row>
    <row r="79" spans="1:10">
      <c r="A79" t="s">
        <v>188</v>
      </c>
      <c r="B79" s="17">
        <v>1795311</v>
      </c>
      <c r="C79" s="243">
        <v>1961256</v>
      </c>
      <c r="D79" s="244">
        <v>38421.224070138</v>
      </c>
      <c r="E79" s="17">
        <f t="shared" ref="E79:E89" si="21">B79+C79+D79</f>
        <v>3794988.2240701378</v>
      </c>
      <c r="F79" s="17">
        <f t="shared" ref="F79:F89" si="22">I79-H79</f>
        <v>1777576.0385635339</v>
      </c>
      <c r="G79" s="224">
        <v>595830</v>
      </c>
      <c r="H79" s="243">
        <v>236701.185506604</v>
      </c>
      <c r="I79" s="17">
        <f t="shared" si="20"/>
        <v>2014277.2240701378</v>
      </c>
      <c r="J79" s="224">
        <v>1780711</v>
      </c>
    </row>
    <row r="80" spans="1:10">
      <c r="A80" t="s">
        <v>189</v>
      </c>
      <c r="B80" s="17">
        <v>1780711</v>
      </c>
      <c r="C80" s="243">
        <v>1950176</v>
      </c>
      <c r="D80" s="244">
        <v>47415.651928847998</v>
      </c>
      <c r="E80" s="17">
        <f t="shared" si="21"/>
        <v>3778302.6519288481</v>
      </c>
      <c r="F80" s="17">
        <f t="shared" si="22"/>
        <v>1670621.946319188</v>
      </c>
      <c r="G80" s="224">
        <v>610470</v>
      </c>
      <c r="H80" s="243">
        <v>235410.70560966004</v>
      </c>
      <c r="I80" s="17">
        <f t="shared" si="20"/>
        <v>1906032.6519288481</v>
      </c>
      <c r="J80" s="224">
        <v>1872270</v>
      </c>
    </row>
    <row r="81" spans="1:10">
      <c r="A81" t="s">
        <v>190</v>
      </c>
      <c r="B81" s="17">
        <v>1872270</v>
      </c>
      <c r="C81" s="243">
        <v>1982893</v>
      </c>
      <c r="D81" s="244">
        <v>22670.789412599999</v>
      </c>
      <c r="E81" s="17">
        <f t="shared" si="21"/>
        <v>3877833.7894126</v>
      </c>
      <c r="F81" s="17">
        <f t="shared" si="22"/>
        <v>1492781.9223601159</v>
      </c>
      <c r="G81" s="224">
        <v>390110</v>
      </c>
      <c r="H81" s="243">
        <v>259354.86705248404</v>
      </c>
      <c r="I81" s="17">
        <f t="shared" si="20"/>
        <v>1752136.7894126</v>
      </c>
      <c r="J81" s="224">
        <v>2125697</v>
      </c>
    </row>
    <row r="82" spans="1:10">
      <c r="A82" t="s">
        <v>191</v>
      </c>
      <c r="B82" s="17">
        <v>2125697</v>
      </c>
      <c r="C82" s="243">
        <v>1757030</v>
      </c>
      <c r="D82" s="244">
        <v>20924.905158360001</v>
      </c>
      <c r="E82" s="17">
        <f t="shared" si="21"/>
        <v>3903651.90515836</v>
      </c>
      <c r="F82" s="17">
        <f t="shared" si="22"/>
        <v>1451589.437605194</v>
      </c>
      <c r="G82" s="224">
        <v>369180</v>
      </c>
      <c r="H82" s="243">
        <v>238745.46755316606</v>
      </c>
      <c r="I82" s="17">
        <f t="shared" si="20"/>
        <v>1690334.90515836</v>
      </c>
      <c r="J82" s="224">
        <v>2213317</v>
      </c>
    </row>
    <row r="83" spans="1:10">
      <c r="A83" t="s">
        <v>192</v>
      </c>
      <c r="B83" s="17">
        <v>2213317</v>
      </c>
      <c r="C83" s="243">
        <v>1865466</v>
      </c>
      <c r="D83" s="244">
        <v>26979.553355706001</v>
      </c>
      <c r="E83" s="17">
        <f t="shared" si="21"/>
        <v>4105762.5533557059</v>
      </c>
      <c r="F83" s="17">
        <f t="shared" si="22"/>
        <v>1466465.4145410738</v>
      </c>
      <c r="G83" s="224">
        <v>369460</v>
      </c>
      <c r="H83" s="243">
        <v>295461.13881463202</v>
      </c>
      <c r="I83" s="17">
        <f t="shared" si="20"/>
        <v>1761926.5533557059</v>
      </c>
      <c r="J83" s="224">
        <v>2343836</v>
      </c>
    </row>
    <row r="84" spans="1:10">
      <c r="A84" t="s">
        <v>193</v>
      </c>
      <c r="B84" s="17">
        <v>2343836</v>
      </c>
      <c r="C84" s="243">
        <v>1737775</v>
      </c>
      <c r="D84" s="244">
        <v>32258.738992284001</v>
      </c>
      <c r="E84" s="17">
        <f t="shared" si="21"/>
        <v>4113869.7389922841</v>
      </c>
      <c r="F84" s="17">
        <f t="shared" si="22"/>
        <v>1616476.428891276</v>
      </c>
      <c r="G84" s="224">
        <v>426710</v>
      </c>
      <c r="H84" s="243">
        <v>257404.31010100801</v>
      </c>
      <c r="I84" s="17">
        <f t="shared" si="20"/>
        <v>1873880.7389922841</v>
      </c>
      <c r="J84" s="224">
        <v>2239989</v>
      </c>
    </row>
    <row r="85" spans="1:10">
      <c r="A85" t="s">
        <v>200</v>
      </c>
      <c r="B85" s="17">
        <v>2239989</v>
      </c>
      <c r="C85" s="243">
        <v>1839342</v>
      </c>
      <c r="D85" s="244">
        <v>31495.002815934004</v>
      </c>
      <c r="E85" s="17">
        <f t="shared" si="21"/>
        <v>4110826.0028159339</v>
      </c>
      <c r="F85" s="17">
        <f t="shared" si="22"/>
        <v>1680248.398646228</v>
      </c>
      <c r="G85" s="224">
        <v>545510</v>
      </c>
      <c r="H85" s="243">
        <v>161322.604169706</v>
      </c>
      <c r="I85" s="17">
        <f t="shared" si="20"/>
        <v>1841571.0028159339</v>
      </c>
      <c r="J85" s="224">
        <v>2269255</v>
      </c>
    </row>
    <row r="86" spans="1:10">
      <c r="A86" t="s">
        <v>194</v>
      </c>
      <c r="B86" s="17">
        <v>2269255</v>
      </c>
      <c r="C86" s="243">
        <v>1735608</v>
      </c>
      <c r="D86" s="244">
        <v>24291.653962463999</v>
      </c>
      <c r="E86" s="17">
        <f t="shared" si="21"/>
        <v>4029154.6539624641</v>
      </c>
      <c r="F86" s="17">
        <f t="shared" si="22"/>
        <v>1748288.5538861901</v>
      </c>
      <c r="G86" s="224">
        <v>548840</v>
      </c>
      <c r="H86" s="243">
        <v>137988.10007627402</v>
      </c>
      <c r="I86" s="17">
        <f t="shared" si="20"/>
        <v>1886276.6539624641</v>
      </c>
      <c r="J86" s="224">
        <v>2142878</v>
      </c>
    </row>
    <row r="87" spans="1:10">
      <c r="A87" t="s">
        <v>195</v>
      </c>
      <c r="B87" s="17">
        <v>2142878</v>
      </c>
      <c r="C87" s="243">
        <v>1801376</v>
      </c>
      <c r="D87" s="244">
        <v>22456.531018908001</v>
      </c>
      <c r="E87" s="17">
        <f t="shared" si="21"/>
        <v>3966710.5310189081</v>
      </c>
      <c r="F87" s="17">
        <f t="shared" si="22"/>
        <v>1767366.2903755221</v>
      </c>
      <c r="G87" s="224">
        <v>606150</v>
      </c>
      <c r="H87" s="243">
        <v>198846.240643386</v>
      </c>
      <c r="I87" s="17">
        <f t="shared" si="20"/>
        <v>1966212.5310189081</v>
      </c>
      <c r="J87" s="224">
        <v>2000498</v>
      </c>
    </row>
    <row r="88" spans="1:10">
      <c r="A88" t="s">
        <v>205</v>
      </c>
      <c r="B88" s="17">
        <v>2000498</v>
      </c>
      <c r="C88" s="243">
        <v>1762207</v>
      </c>
      <c r="D88" s="244">
        <v>19362.516002423999</v>
      </c>
      <c r="E88" s="17">
        <f t="shared" si="21"/>
        <v>3782067.5160024241</v>
      </c>
      <c r="F88" s="17">
        <f t="shared" si="22"/>
        <v>1808515.5428586181</v>
      </c>
      <c r="G88" s="224">
        <v>608170</v>
      </c>
      <c r="H88" s="243">
        <v>163210.97314380601</v>
      </c>
      <c r="I88" s="17">
        <f t="shared" si="20"/>
        <v>1971726.5160024241</v>
      </c>
      <c r="J88" s="224">
        <v>1810341</v>
      </c>
    </row>
    <row r="89" spans="1:10">
      <c r="A89" t="s">
        <v>186</v>
      </c>
      <c r="B89" s="17">
        <v>1810341</v>
      </c>
      <c r="C89" s="243">
        <v>1701762</v>
      </c>
      <c r="D89" s="244">
        <v>18001.662366617998</v>
      </c>
      <c r="E89" s="17">
        <f t="shared" si="21"/>
        <v>3530104.6623666179</v>
      </c>
      <c r="F89" s="17">
        <f t="shared" si="22"/>
        <v>1688916.1120424878</v>
      </c>
      <c r="G89" s="224">
        <v>603910</v>
      </c>
      <c r="H89" s="243">
        <v>130234.55032413</v>
      </c>
      <c r="I89" s="17">
        <f t="shared" si="20"/>
        <v>1819150.6623666179</v>
      </c>
      <c r="J89" s="224">
        <v>1710954</v>
      </c>
    </row>
    <row r="90" spans="1:10">
      <c r="A90" s="38" t="s">
        <v>354</v>
      </c>
      <c r="B90" s="38"/>
      <c r="C90" s="67">
        <f>SUM(C78:C89)</f>
        <v>22123409</v>
      </c>
      <c r="D90" s="331">
        <f>SUM(D78:D89)</f>
        <v>318708.76757353207</v>
      </c>
      <c r="E90" s="67">
        <f>B78+C90+D90</f>
        <v>24128930.767573532</v>
      </c>
      <c r="F90" s="67">
        <f>SUM(F78:F89)</f>
        <v>19862314.534937177</v>
      </c>
      <c r="G90" s="67">
        <f>SUM(G78:G89)</f>
        <v>6200300</v>
      </c>
      <c r="H90" s="67">
        <f>SUM(H78:H89)</f>
        <v>2555662.2326363521</v>
      </c>
      <c r="I90" s="67">
        <f>SUM(I78:I89)</f>
        <v>22417976.767573535</v>
      </c>
      <c r="J90" s="67"/>
    </row>
    <row r="91" spans="1:10">
      <c r="A91" s="107" t="s">
        <v>569</v>
      </c>
      <c r="B91" s="38"/>
      <c r="C91" s="67"/>
      <c r="D91" s="331"/>
      <c r="E91" s="67"/>
      <c r="F91" s="67"/>
      <c r="G91" s="67"/>
      <c r="H91" s="67"/>
      <c r="I91" s="67"/>
      <c r="J91" s="67"/>
    </row>
    <row r="92" spans="1:10">
      <c r="A92" t="s">
        <v>187</v>
      </c>
      <c r="B92" s="224">
        <v>1710954</v>
      </c>
      <c r="C92" s="67">
        <v>2016888</v>
      </c>
      <c r="D92" s="331">
        <v>32186.967523073999</v>
      </c>
      <c r="E92" s="67">
        <v>3760028.9675230738</v>
      </c>
      <c r="F92" s="17">
        <f>I92-H92</f>
        <v>1921164.6905235378</v>
      </c>
      <c r="G92" s="67">
        <v>577430</v>
      </c>
      <c r="H92" s="67">
        <v>212641.276999536</v>
      </c>
      <c r="I92" s="344">
        <f t="shared" ref="I92:I103" si="23">E92-J92</f>
        <v>2133805.9675230738</v>
      </c>
      <c r="J92" s="67">
        <v>1626223</v>
      </c>
    </row>
    <row r="93" spans="1:10">
      <c r="A93" t="s">
        <v>188</v>
      </c>
      <c r="B93" s="224">
        <v>1626223</v>
      </c>
      <c r="C93" s="67">
        <v>1977005</v>
      </c>
      <c r="D93" s="331">
        <v>22025.650876740001</v>
      </c>
      <c r="E93" s="67">
        <v>3625253.65087674</v>
      </c>
      <c r="F93" s="17">
        <f t="shared" ref="F93:F103" si="24">I93-H93</f>
        <v>1802525.9723672159</v>
      </c>
      <c r="G93" s="67">
        <v>590800</v>
      </c>
      <c r="H93" s="67">
        <v>132146.678509524</v>
      </c>
      <c r="I93" s="344">
        <f t="shared" si="23"/>
        <v>1934672.65087674</v>
      </c>
      <c r="J93" s="67">
        <v>1690581</v>
      </c>
    </row>
    <row r="94" spans="1:10">
      <c r="A94" t="s">
        <v>189</v>
      </c>
      <c r="B94" s="224">
        <v>1690581</v>
      </c>
      <c r="C94" s="67">
        <v>2015256</v>
      </c>
      <c r="D94" s="331">
        <v>31197.103268184004</v>
      </c>
      <c r="E94" s="67">
        <v>3737034.1032681842</v>
      </c>
      <c r="F94" s="17">
        <f t="shared" si="24"/>
        <v>1613443.1539013023</v>
      </c>
      <c r="G94" s="67">
        <v>593990</v>
      </c>
      <c r="H94" s="67">
        <v>172916.94936688201</v>
      </c>
      <c r="I94" s="344">
        <f t="shared" si="23"/>
        <v>1786360.1032681842</v>
      </c>
      <c r="J94" s="67">
        <v>1950674</v>
      </c>
    </row>
    <row r="95" spans="1:10">
      <c r="A95" t="s">
        <v>190</v>
      </c>
      <c r="B95" s="224">
        <v>1950674</v>
      </c>
      <c r="C95" s="67">
        <v>1995589</v>
      </c>
      <c r="D95" s="331">
        <v>22118.901978095997</v>
      </c>
      <c r="E95" s="67">
        <v>3968381.901978096</v>
      </c>
      <c r="F95" s="17">
        <f t="shared" si="24"/>
        <v>1547929.93817437</v>
      </c>
      <c r="G95" s="67">
        <v>462120</v>
      </c>
      <c r="H95" s="67">
        <v>180667.96380372602</v>
      </c>
      <c r="I95" s="344">
        <f t="shared" si="23"/>
        <v>1728597.901978096</v>
      </c>
      <c r="J95" s="67">
        <v>2239784</v>
      </c>
    </row>
    <row r="96" spans="1:10">
      <c r="A96" t="s">
        <v>191</v>
      </c>
      <c r="B96" s="224">
        <v>2239784</v>
      </c>
      <c r="C96" s="67">
        <v>1889841</v>
      </c>
      <c r="D96" s="331">
        <v>41130.995518242002</v>
      </c>
      <c r="E96" s="67">
        <v>4170755.995518242</v>
      </c>
      <c r="F96" s="17">
        <f t="shared" si="24"/>
        <v>1564279.2080768279</v>
      </c>
      <c r="G96" s="67">
        <v>495590</v>
      </c>
      <c r="H96" s="67">
        <v>181094.787441414</v>
      </c>
      <c r="I96" s="344">
        <f t="shared" si="23"/>
        <v>1745373.995518242</v>
      </c>
      <c r="J96" s="67">
        <v>2425382</v>
      </c>
    </row>
    <row r="97" spans="1:10">
      <c r="A97" t="s">
        <v>192</v>
      </c>
      <c r="B97" s="224">
        <v>2425382</v>
      </c>
      <c r="C97" s="67">
        <v>2079123</v>
      </c>
      <c r="D97" s="331">
        <v>21080.022362279997</v>
      </c>
      <c r="E97" s="67">
        <v>4525585.0223622797</v>
      </c>
      <c r="F97" s="17">
        <f t="shared" si="24"/>
        <v>1879572.2664204217</v>
      </c>
      <c r="G97" s="67">
        <v>624150</v>
      </c>
      <c r="H97" s="67">
        <v>201530.75594185802</v>
      </c>
      <c r="I97" s="344">
        <f t="shared" si="23"/>
        <v>2081103.0223622797</v>
      </c>
      <c r="J97" s="67">
        <v>2444482</v>
      </c>
    </row>
    <row r="98" spans="1:10">
      <c r="A98" t="s">
        <v>193</v>
      </c>
      <c r="B98" s="224">
        <v>2444482</v>
      </c>
      <c r="C98" s="67">
        <v>1964922</v>
      </c>
      <c r="D98" s="331">
        <v>28697.044283208001</v>
      </c>
      <c r="E98" s="67">
        <v>4438101.0442832084</v>
      </c>
      <c r="F98" s="17">
        <f t="shared" si="24"/>
        <v>1537004.6059233323</v>
      </c>
      <c r="G98" s="67">
        <v>519560</v>
      </c>
      <c r="H98" s="67">
        <v>212320.43835987605</v>
      </c>
      <c r="I98" s="344">
        <f t="shared" si="23"/>
        <v>1749325.0442832084</v>
      </c>
      <c r="J98" s="67">
        <v>2688776</v>
      </c>
    </row>
    <row r="99" spans="1:10">
      <c r="A99" t="s">
        <v>200</v>
      </c>
      <c r="B99" s="224">
        <v>2688776</v>
      </c>
      <c r="C99" s="67">
        <v>1966511</v>
      </c>
      <c r="D99" s="331">
        <v>34096.664010402004</v>
      </c>
      <c r="E99" s="67">
        <v>4689383.6640104018</v>
      </c>
      <c r="F99" s="17">
        <f t="shared" si="24"/>
        <v>1883900.5750484958</v>
      </c>
      <c r="G99" s="67">
        <v>581330</v>
      </c>
      <c r="H99" s="67">
        <v>431422.08896190603</v>
      </c>
      <c r="I99" s="344">
        <f t="shared" si="23"/>
        <v>2315322.6640104018</v>
      </c>
      <c r="J99" s="67">
        <v>2374061</v>
      </c>
    </row>
    <row r="100" spans="1:10">
      <c r="A100" t="s">
        <v>194</v>
      </c>
      <c r="B100" s="224">
        <v>2374061</v>
      </c>
      <c r="C100" s="67">
        <v>1936907</v>
      </c>
      <c r="D100" s="331">
        <v>31765.695123582002</v>
      </c>
      <c r="E100" s="67">
        <v>4342733.6951235821</v>
      </c>
      <c r="F100" s="17">
        <f t="shared" si="24"/>
        <v>1809597.3288704341</v>
      </c>
      <c r="G100" s="67">
        <v>623610</v>
      </c>
      <c r="H100" s="67">
        <v>228328.36625314801</v>
      </c>
      <c r="I100" s="344">
        <f t="shared" si="23"/>
        <v>2037925.6951235821</v>
      </c>
      <c r="J100" s="67">
        <v>2304808</v>
      </c>
    </row>
    <row r="101" spans="1:10">
      <c r="A101" t="s">
        <v>195</v>
      </c>
      <c r="B101" s="224">
        <v>2304808</v>
      </c>
      <c r="C101" s="67">
        <v>2043323</v>
      </c>
      <c r="D101" s="331">
        <v>32716.958651873996</v>
      </c>
      <c r="E101" s="67">
        <v>4380847.9586518742</v>
      </c>
      <c r="F101" s="17">
        <f t="shared" si="24"/>
        <v>1822468.7116086942</v>
      </c>
      <c r="G101" s="67">
        <v>671270</v>
      </c>
      <c r="H101" s="67">
        <v>174733.24704318002</v>
      </c>
      <c r="I101" s="344">
        <f t="shared" si="23"/>
        <v>1997201.9586518742</v>
      </c>
      <c r="J101" s="67">
        <v>2383646</v>
      </c>
    </row>
    <row r="102" spans="1:10">
      <c r="A102" t="s">
        <v>205</v>
      </c>
      <c r="B102" s="224">
        <v>2383646</v>
      </c>
      <c r="C102" s="67">
        <v>1944966</v>
      </c>
      <c r="D102" s="331">
        <v>23728.915378476002</v>
      </c>
      <c r="E102" s="67">
        <v>4352340.9153784756</v>
      </c>
      <c r="F102" s="17">
        <f t="shared" si="24"/>
        <v>1939904.0015978254</v>
      </c>
      <c r="G102" s="67">
        <v>705130</v>
      </c>
      <c r="H102" s="67">
        <v>197637.91378065001</v>
      </c>
      <c r="I102" s="344">
        <f t="shared" si="23"/>
        <v>2137541.9153784756</v>
      </c>
      <c r="J102" s="67">
        <v>2214799</v>
      </c>
    </row>
    <row r="103" spans="1:10">
      <c r="A103" s="38" t="s">
        <v>186</v>
      </c>
      <c r="B103" s="224">
        <v>2214799</v>
      </c>
      <c r="C103" s="67">
        <v>1942097</v>
      </c>
      <c r="D103" s="331">
        <v>14664.713438087998</v>
      </c>
      <c r="E103" s="67">
        <v>4171560.7134380881</v>
      </c>
      <c r="F103" s="17">
        <f t="shared" si="24"/>
        <v>2054457.8404953522</v>
      </c>
      <c r="G103" s="67">
        <v>688710</v>
      </c>
      <c r="H103" s="67">
        <v>121668.87294273599</v>
      </c>
      <c r="I103" s="344">
        <f t="shared" si="23"/>
        <v>2176126.7134380881</v>
      </c>
      <c r="J103" s="67">
        <v>1995434</v>
      </c>
    </row>
    <row r="104" spans="1:10">
      <c r="A104" s="1" t="s">
        <v>354</v>
      </c>
      <c r="B104" s="265"/>
      <c r="C104" s="18">
        <f>SUM(C92:C103)</f>
        <v>23772428</v>
      </c>
      <c r="D104" s="345">
        <f>SUM(D92:D103)</f>
        <v>335409.63241224602</v>
      </c>
      <c r="E104" s="18">
        <f>B92+C104+D104</f>
        <v>25818791.632412247</v>
      </c>
      <c r="F104" s="18">
        <f>SUM(F92:F103)</f>
        <v>21376248.29300781</v>
      </c>
      <c r="G104" s="18">
        <f>SUM(G92:G103)</f>
        <v>7133690</v>
      </c>
      <c r="H104" s="18">
        <f>SUM(H92:H103)</f>
        <v>2447109.3394044358</v>
      </c>
      <c r="I104" s="18">
        <f>SUM(I92:I103)</f>
        <v>23823357.632412247</v>
      </c>
      <c r="J104" s="18"/>
    </row>
    <row r="105" spans="1:10" ht="13.2" customHeight="1">
      <c r="A105" t="s">
        <v>501</v>
      </c>
      <c r="F105" s="17"/>
      <c r="G105" s="17"/>
      <c r="H105" s="17"/>
    </row>
    <row r="106" spans="1:10">
      <c r="A106" t="s">
        <v>520</v>
      </c>
      <c r="F106" s="17"/>
      <c r="G106" s="17"/>
      <c r="H106" s="17"/>
    </row>
    <row r="107" spans="1:10" ht="10.199999999999999" customHeight="1">
      <c r="A107" t="s">
        <v>522</v>
      </c>
      <c r="F107" s="17"/>
      <c r="G107" s="17"/>
      <c r="H107" s="17"/>
      <c r="J107" s="270" t="s">
        <v>679</v>
      </c>
    </row>
    <row r="108" spans="1:10">
      <c r="F108" s="17"/>
      <c r="G108" s="17"/>
      <c r="H108" s="17"/>
    </row>
    <row r="109" spans="1:10">
      <c r="F109" s="17"/>
      <c r="G109" s="17"/>
      <c r="H109" s="17"/>
    </row>
    <row r="110" spans="1:10">
      <c r="F110" s="17"/>
      <c r="G110" s="17"/>
      <c r="H110" s="17"/>
    </row>
    <row r="111" spans="1:10">
      <c r="F111" s="17"/>
      <c r="G111" s="17"/>
      <c r="H111" s="17"/>
    </row>
    <row r="112" spans="1:10">
      <c r="F112" s="17"/>
      <c r="G112" s="17"/>
      <c r="H112" s="17"/>
    </row>
    <row r="113" spans="6:8">
      <c r="F113" s="17"/>
      <c r="G113" s="17"/>
      <c r="H113" s="17"/>
    </row>
    <row r="114" spans="6:8">
      <c r="F114" s="17"/>
      <c r="G114" s="17"/>
      <c r="H114" s="17"/>
    </row>
    <row r="115" spans="6:8">
      <c r="F115" s="17"/>
      <c r="G115" s="17"/>
      <c r="H115" s="17"/>
    </row>
    <row r="116" spans="6:8">
      <c r="F116" s="17"/>
      <c r="G116" s="17"/>
      <c r="H116" s="17"/>
    </row>
    <row r="117" spans="6:8">
      <c r="F117" s="17"/>
      <c r="G117" s="17"/>
      <c r="H117" s="17"/>
    </row>
    <row r="118" spans="6:8">
      <c r="F118" s="17"/>
      <c r="G118" s="17"/>
      <c r="H118" s="17"/>
    </row>
  </sheetData>
  <mergeCells count="2">
    <mergeCell ref="B2:E2"/>
    <mergeCell ref="F2:I2"/>
  </mergeCells>
  <phoneticPr fontId="0" type="noConversion"/>
  <pageMargins left="0.7" right="0.7" top="0.75" bottom="0.75" header="0.3" footer="0.3"/>
  <pageSetup scale="70" firstPageNumber="35" orientation="portrait" useFirstPageNumber="1" r:id="rId1"/>
  <headerFooter alignWithMargins="0">
    <oddFooter>&amp;C&amp;P
Oil Crops Yearbook/OCS-2018
March 2018
Economic Research Service, USDA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8C5EA302860148B1C64169613367E0" ma:contentTypeVersion="11" ma:contentTypeDescription="Create a new document." ma:contentTypeScope="" ma:versionID="b96de187dfa2a4e6877396e1c498b29a">
  <xsd:schema xmlns:xsd="http://www.w3.org/2001/XMLSchema" xmlns:xs="http://www.w3.org/2001/XMLSchema" xmlns:p="http://schemas.microsoft.com/office/2006/metadata/properties" xmlns:ns3="2deea066-4078-4be0-a8d1-1d092503c26d" xmlns:ns4="f5f6f30e-e9c3-4113-9440-48c34ed51b00" targetNamespace="http://schemas.microsoft.com/office/2006/metadata/properties" ma:root="true" ma:fieldsID="9a3e1768ad611beedc8b239a5cefa7c0" ns3:_="" ns4:_="">
    <xsd:import namespace="2deea066-4078-4be0-a8d1-1d092503c26d"/>
    <xsd:import namespace="f5f6f30e-e9c3-4113-9440-48c34ed51b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ea066-4078-4be0-a8d1-1d092503c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6f30e-e9c3-4113-9440-48c34ed51b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38719A-65F1-4F33-B9F5-686806EA4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eea066-4078-4be0-a8d1-1d092503c26d"/>
    <ds:schemaRef ds:uri="f5f6f30e-e9c3-4113-9440-48c34ed51b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04B83F-AB9C-4816-AEA1-A0910C16FC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74B2F8-D788-4AC4-ADF6-5FAB3CA4530F}">
  <ds:schemaRefs>
    <ds:schemaRef ds:uri="http://www.w3.org/XML/1998/namespace"/>
    <ds:schemaRef ds:uri="http://schemas.microsoft.com/office/2006/documentManagement/types"/>
    <ds:schemaRef ds:uri="f5f6f30e-e9c3-4113-9440-48c34ed51b00"/>
    <ds:schemaRef ds:uri="http://purl.org/dc/elements/1.1/"/>
    <ds:schemaRef ds:uri="2deea066-4078-4be0-a8d1-1d092503c26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41</vt:i4>
      </vt:variant>
    </vt:vector>
  </HeadingPairs>
  <TitlesOfParts>
    <vt:vector size="90" baseType="lpstr">
      <vt:lpstr>Contents</vt:lpstr>
      <vt:lpstr>tab01</vt:lpstr>
      <vt:lpstr>tab02</vt:lpstr>
      <vt:lpstr>tab3</vt:lpstr>
      <vt:lpstr>tab4</vt:lpstr>
      <vt:lpstr>tab5</vt:lpstr>
      <vt:lpstr>tab6</vt:lpstr>
      <vt:lpstr>tab7</vt:lpstr>
      <vt:lpstr>tab8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tab31</vt:lpstr>
      <vt:lpstr>tab32</vt:lpstr>
      <vt:lpstr>tab33(1)</vt:lpstr>
      <vt:lpstr>tab33(2)</vt:lpstr>
      <vt:lpstr>tab33(3)</vt:lpstr>
      <vt:lpstr>tab33(4)</vt:lpstr>
      <vt:lpstr>tab33(5)</vt:lpstr>
      <vt:lpstr>tab33(6)</vt:lpstr>
      <vt:lpstr>tab33(7)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9'!Print_Area</vt:lpstr>
      <vt:lpstr>'tab01'!Print_Area</vt:lpstr>
      <vt:lpstr>'tab02'!Print_Area</vt:lpstr>
      <vt:lpstr>'tab20'!Print_Area</vt:lpstr>
      <vt:lpstr>'tab21'!Print_Area</vt:lpstr>
      <vt:lpstr>'tab22'!Print_Area</vt:lpstr>
      <vt:lpstr>'tab23'!Print_Area</vt:lpstr>
      <vt:lpstr>'tab24'!Print_Area</vt:lpstr>
      <vt:lpstr>'tab25'!Print_Area</vt:lpstr>
      <vt:lpstr>'tab26'!Print_Area</vt:lpstr>
      <vt:lpstr>'tab27'!Print_Area</vt:lpstr>
      <vt:lpstr>'tab28'!Print_Area</vt:lpstr>
      <vt:lpstr>'tab29'!Print_Area</vt:lpstr>
      <vt:lpstr>'tab3'!Print_Area</vt:lpstr>
      <vt:lpstr>'tab30'!Print_Area</vt:lpstr>
      <vt:lpstr>'tab31'!Print_Area</vt:lpstr>
      <vt:lpstr>'tab32'!Print_Area</vt:lpstr>
      <vt:lpstr>'tab33(1)'!Print_Area</vt:lpstr>
      <vt:lpstr>'tab33(3)'!Print_Area</vt:lpstr>
      <vt:lpstr>'tab34'!Print_Area</vt:lpstr>
      <vt:lpstr>'tab35'!Print_Area</vt:lpstr>
      <vt:lpstr>'tab36'!Print_Area</vt:lpstr>
      <vt:lpstr>'tab4'!Print_Area</vt:lpstr>
      <vt:lpstr>'tab40'!Print_Area</vt:lpstr>
      <vt:lpstr>'tab41'!Print_Area</vt:lpstr>
      <vt:lpstr>'tab42'!Print_Area</vt:lpstr>
      <vt:lpstr>'tab5'!Print_Area</vt:lpstr>
      <vt:lpstr>'tab6'!Print_Area</vt:lpstr>
      <vt:lpstr>'tab7'!Print_Area</vt:lpstr>
      <vt:lpstr>'tab8'!Print_Area</vt:lpstr>
      <vt:lpstr>'tab6'!Print_Titles</vt:lpstr>
    </vt:vector>
  </TitlesOfParts>
  <Company>USDA-Economic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Yearbook</dc:title>
  <dc:subject>Soybeans &amp; Oil Crops</dc:subject>
  <dc:creator>Mark Ash; Mariana Matias</dc:creator>
  <cp:keywords>soybeans, soybean meal, soybean oil, cottonseed, sunflowerseed, canola, peanuts, flaxseed</cp:keywords>
  <dc:description>Table contains data for the most recent available years.</dc:description>
  <cp:lastModifiedBy>Burress, Molly - REE-ERS, Kansas City, MO</cp:lastModifiedBy>
  <cp:lastPrinted>2018-03-27T21:52:06Z</cp:lastPrinted>
  <dcterms:created xsi:type="dcterms:W3CDTF">2000-06-13T19:07:52Z</dcterms:created>
  <dcterms:modified xsi:type="dcterms:W3CDTF">2021-02-12T20:16:37Z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0x0101005F8C5EA302860148B1C64169613367E0</vt:lpwstr>
  </property>
</Properties>
</file>