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I:\MANN\2023DOCS\OCS\03Mar\"/>
    </mc:Choice>
  </mc:AlternateContent>
  <xr:revisionPtr revIDLastSave="0" documentId="13_ncr:1_{611F9A39-865F-4E33-B7FA-EAB4BCA6FFA4}" xr6:coauthVersionLast="47" xr6:coauthVersionMax="47" xr10:uidLastSave="{00000000-0000-0000-0000-000000000000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14" r:id="rId9"/>
    <sheet name="Figure 2" sheetId="121" r:id="rId10"/>
    <sheet name="Figure 3" sheetId="115" r:id="rId11"/>
    <sheet name="Figure 4" sheetId="120" r:id="rId12"/>
  </sheets>
  <definedNames>
    <definedName name="_xlnm.Print_Area" localSheetId="1">'Table 1'!$A$1:$N$38</definedName>
    <definedName name="_xlnm.Print_Area" localSheetId="7">'Table 10'!$A$1:$G$41</definedName>
    <definedName name="_xlnm.Print_Area" localSheetId="2">'Table 2'!$A$1:$J$31</definedName>
    <definedName name="_xlnm.Print_Area" localSheetId="3">'Table 3'!$A$1:$L$44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J29" i="9" l="1"/>
  <c r="D29" i="9"/>
  <c r="H29" i="2"/>
  <c r="D29" i="2"/>
  <c r="G35" i="1"/>
  <c r="L35" i="1"/>
  <c r="J35" i="1"/>
  <c r="J34" i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L36" i="1"/>
  <c r="G36" i="1"/>
  <c r="G29" i="9" l="1"/>
  <c r="G34" i="1"/>
  <c r="D28" i="9"/>
  <c r="J28" i="9"/>
  <c r="H28" i="2"/>
  <c r="D28" i="2"/>
  <c r="L34" i="1"/>
  <c r="B28" i="9" l="1"/>
  <c r="E28" i="9" s="1"/>
  <c r="K28" i="9" s="1"/>
  <c r="G28" i="9" s="1"/>
  <c r="I28" i="9" s="1"/>
  <c r="B28" i="2"/>
  <c r="E28" i="2" s="1"/>
  <c r="I28" i="2" s="1"/>
  <c r="G28" i="2" s="1"/>
  <c r="N33" i="1"/>
  <c r="N26" i="1"/>
  <c r="F33" i="1"/>
  <c r="D27" i="9" l="1"/>
  <c r="D27" i="2"/>
  <c r="J27" i="9" l="1"/>
  <c r="H27" i="2"/>
  <c r="G32" i="1" l="1"/>
  <c r="L32" i="1" l="1"/>
  <c r="B27" i="9" l="1"/>
  <c r="E27" i="9" s="1"/>
  <c r="K27" i="9" s="1"/>
  <c r="G27" i="9" s="1"/>
  <c r="I27" i="9" s="1"/>
  <c r="B27" i="2"/>
  <c r="E27" i="2" s="1"/>
  <c r="I27" i="2" s="1"/>
  <c r="G27" i="2" s="1"/>
  <c r="D26" i="9"/>
  <c r="J26" i="9"/>
  <c r="H26" i="2"/>
  <c r="D26" i="2"/>
  <c r="L31" i="1" l="1"/>
  <c r="G31" i="1"/>
  <c r="B11" i="2" l="1"/>
  <c r="I6" i="2"/>
  <c r="E6" i="2"/>
  <c r="B11" i="9"/>
  <c r="E6" i="9"/>
  <c r="K6" i="9" s="1"/>
  <c r="G6" i="9" s="1"/>
  <c r="B26" i="9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G27" i="1"/>
  <c r="H22" i="2"/>
  <c r="G30" i="1"/>
  <c r="G33" i="1" s="1"/>
  <c r="L30" i="1"/>
  <c r="L33" i="1" s="1"/>
  <c r="J22" i="9" l="1"/>
  <c r="D22" i="9"/>
  <c r="D22" i="2"/>
  <c r="E32" i="4" l="1"/>
  <c r="J33" i="1"/>
  <c r="J36" i="1" s="1"/>
  <c r="L7" i="9" l="1"/>
  <c r="J7" i="9"/>
  <c r="H23" i="9"/>
  <c r="D7" i="9"/>
  <c r="C23" i="9"/>
  <c r="B22" i="9"/>
  <c r="E22" i="9" s="1"/>
  <c r="K22" i="9" s="1"/>
  <c r="J7" i="2"/>
  <c r="B22" i="2"/>
  <c r="E22" i="2" s="1"/>
  <c r="I22" i="2" s="1"/>
  <c r="G22" i="2" s="1"/>
  <c r="C23" i="2"/>
  <c r="C7" i="2" s="1"/>
  <c r="E14" i="1"/>
  <c r="C7" i="9" l="1"/>
  <c r="G22" i="9"/>
  <c r="I22" i="9" s="1"/>
  <c r="B43" i="6" l="1"/>
  <c r="B43" i="5"/>
  <c r="B42" i="4"/>
  <c r="B50" i="3"/>
  <c r="B32" i="9"/>
  <c r="B32" i="2"/>
  <c r="B39" i="1"/>
  <c r="D21" i="9" l="1"/>
  <c r="D21" i="2"/>
  <c r="G25" i="1" l="1"/>
  <c r="J21" i="9" l="1"/>
  <c r="H21" i="2"/>
  <c r="L25" i="1" l="1"/>
  <c r="F14" i="1" l="1"/>
  <c r="G32" i="4" l="1"/>
  <c r="F32" i="4"/>
  <c r="D32" i="4"/>
  <c r="C32" i="4"/>
  <c r="B32" i="4"/>
  <c r="E26" i="1"/>
  <c r="F27" i="1"/>
  <c r="F7" i="1" s="1"/>
  <c r="E33" i="1"/>
  <c r="H33" i="1" s="1"/>
  <c r="M33" i="1" s="1"/>
  <c r="K33" i="1" s="1"/>
  <c r="B21" i="2"/>
  <c r="E21" i="2" s="1"/>
  <c r="I21" i="2" s="1"/>
  <c r="G21" i="2" s="1"/>
  <c r="B21" i="9"/>
  <c r="E21" i="9" s="1"/>
  <c r="K21" i="9" s="1"/>
  <c r="N7" i="1" l="1"/>
  <c r="G21" i="9"/>
  <c r="J20" i="9"/>
  <c r="H20" i="2"/>
  <c r="I21" i="9" l="1"/>
  <c r="D20" i="9"/>
  <c r="D20" i="2"/>
  <c r="G24" i="1" l="1"/>
  <c r="L24" i="1" l="1"/>
  <c r="B20" i="9" l="1"/>
  <c r="E20" i="9" s="1"/>
  <c r="K20" i="9" s="1"/>
  <c r="G20" i="9" s="1"/>
  <c r="I20" i="9" s="1"/>
  <c r="B20" i="2"/>
  <c r="E20" i="2" s="1"/>
  <c r="I20" i="2" s="1"/>
  <c r="G20" i="2" s="1"/>
  <c r="D46" i="3" l="1"/>
  <c r="H19" i="2" l="1"/>
  <c r="H18" i="2"/>
  <c r="H17" i="2"/>
  <c r="H16" i="2"/>
  <c r="H15" i="2"/>
  <c r="H14" i="2"/>
  <c r="H13" i="2"/>
  <c r="H12" i="2"/>
  <c r="H11" i="2"/>
  <c r="H7" i="2" s="1"/>
  <c r="D19" i="2"/>
  <c r="D18" i="2"/>
  <c r="D17" i="2"/>
  <c r="D16" i="2"/>
  <c r="D15" i="2"/>
  <c r="D14" i="2"/>
  <c r="D13" i="2"/>
  <c r="D12" i="2"/>
  <c r="D11" i="2"/>
  <c r="D7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H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6" i="1" l="1"/>
  <c r="K26" i="1" s="1"/>
  <c r="B19" i="9"/>
  <c r="E19" i="9" s="1"/>
  <c r="K19" i="9" s="1"/>
  <c r="G19" i="9" s="1"/>
  <c r="I19" i="9" s="1"/>
  <c r="B19" i="2"/>
  <c r="E19" i="2" s="1"/>
  <c r="I19" i="2" s="1"/>
  <c r="G19" i="2" s="1"/>
  <c r="E22" i="1" l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6" i="3" l="1"/>
  <c r="H46" i="3" s="1"/>
  <c r="N46" i="3" s="1"/>
  <c r="L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D8" i="1"/>
  <c r="B16" i="9"/>
  <c r="B16" i="2"/>
  <c r="E16" i="2" s="1"/>
  <c r="I16" i="2" s="1"/>
  <c r="L22" i="1"/>
  <c r="J22" i="1"/>
  <c r="G22" i="1"/>
  <c r="H8" i="1" l="1"/>
  <c r="M8" i="1" s="1"/>
  <c r="H22" i="1"/>
  <c r="M22" i="1" s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7" i="9" s="1"/>
  <c r="E11" i="2"/>
  <c r="I11" i="2" s="1"/>
  <c r="E23" i="2"/>
  <c r="E7" i="2" s="1"/>
  <c r="B20" i="3"/>
  <c r="G11" i="9" l="1"/>
  <c r="K23" i="9"/>
  <c r="G11" i="2"/>
  <c r="G23" i="2" s="1"/>
  <c r="G7" i="2" s="1"/>
  <c r="I23" i="2"/>
  <c r="I7" i="2" s="1"/>
  <c r="L14" i="1"/>
  <c r="L7" i="1" s="1"/>
  <c r="G14" i="1"/>
  <c r="I11" i="9" l="1"/>
  <c r="I23" i="9" s="1"/>
  <c r="G23" i="9"/>
  <c r="H27" i="1"/>
  <c r="G7" i="1"/>
  <c r="H14" i="1"/>
  <c r="M14" i="1" s="1"/>
  <c r="M27" i="1" s="1"/>
  <c r="J11" i="1"/>
  <c r="J14" i="1" s="1"/>
  <c r="J27" i="1" s="1"/>
  <c r="J7" i="1" s="1"/>
  <c r="K14" i="1" l="1"/>
  <c r="K27" i="1" s="1"/>
  <c r="D45" i="3" l="1"/>
  <c r="B7" i="9"/>
  <c r="D7" i="1"/>
  <c r="I19" i="3" l="1"/>
  <c r="B7" i="2" l="1"/>
  <c r="K7" i="9" l="1"/>
  <c r="G7" i="9" s="1"/>
  <c r="I7" i="9" s="1"/>
  <c r="B7" i="3" l="1"/>
  <c r="E7" i="3" s="1"/>
  <c r="J7" i="3" s="1"/>
  <c r="I7" i="3" s="1"/>
  <c r="E20" i="3"/>
  <c r="G20" i="3" s="1"/>
  <c r="I20" i="3" s="1"/>
  <c r="B32" i="3"/>
  <c r="E45" i="3"/>
  <c r="H45" i="3" s="1"/>
  <c r="N45" i="3" s="1"/>
  <c r="L45" i="3" s="1"/>
  <c r="D44" i="3"/>
  <c r="E32" i="3" l="1"/>
  <c r="I32" i="3" s="1"/>
  <c r="G32" i="3" s="1"/>
  <c r="E19" i="3" l="1"/>
  <c r="H44" i="3" l="1"/>
  <c r="N44" i="3" s="1"/>
  <c r="L44" i="3" s="1"/>
  <c r="E31" i="3"/>
  <c r="E6" i="3"/>
  <c r="J6" i="3" s="1"/>
  <c r="I6" i="3" s="1"/>
  <c r="I31" i="3" l="1"/>
  <c r="G31" i="3" s="1"/>
  <c r="D6" i="1" l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<sst xmlns="http://schemas.openxmlformats.org/spreadsheetml/2006/main" count="531" uniqueCount="173">
  <si>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</si>
  <si>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</si>
  <si>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</si>
  <si>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</si>
  <si>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</si>
  <si>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</si>
  <si>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</si>
  <si>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</si>
  <si>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</si>
  <si>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</si>
  <si>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</si>
  <si>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</si>
  <si>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</si>
  <si>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</si>
  <si>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</si>
  <si>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</si>
  <si>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</si>
  <si>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</si>
  <si>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</si>
  <si>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</si>
  <si>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</si>
  <si>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</si>
  <si>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</si>
  <si>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</si>
  <si>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</si>
  <si>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</si>
  <si>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</si>
  <si>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</si>
  <si>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</si>
  <si>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</si>
  <si>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</si>
  <si>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</si>
  <si>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</si>
  <si>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</si>
  <si>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</si>
  <si>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</si>
  <si>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</si>
  <si>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</si>
  <si>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</si>
  <si>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</si>
  <si>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</si>
  <si>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</si>
  <si>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</si>
  <si>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</si>
  <si>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</si>
  <si>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</si>
  <si>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</si>
  <si>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</si>
  <si>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</si>
  <si>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</si>
  <si>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</si>
  <si>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</si>
  <si>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</si>
  <si>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</si>
  <si>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</si>
  <si>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</si>
  <si>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</si>
  <si>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</si>
  <si>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</si>
  <si>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</si>
  <si>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</si>
  <si>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</si>
  <si>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</si>
  <si>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</si>
  <si>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</si>
  <si>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</si>
  <si>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</si>
  <si>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</si>
  <si>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</si>
  <si>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</si>
  <si>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</si>
  <si>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</si>
  <si>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</si>
  <si>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</si>
  <si>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</si>
  <si>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</si>
  <si>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</si>
  <si>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</si>
  <si>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</si>
  <si>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</si>
  <si>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</si>
  <si>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</si>
  <si>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</si>
  <si>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</si>
  <si>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</si>
  <si>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</si>
  <si>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</si>
  <si>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</si>
  <si>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</si>
  <si>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</si>
  <si>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</si>
  <si>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</si>
  <si>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</si>
  <si>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</si>
  <si>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</si>
  <si>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</si>
  <si>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</si>
  <si>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</si>
  <si>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</si>
  <si>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</si>
  <si>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</si>
  <si>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</si>
  <si>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</si>
  <si>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</si>
  <si>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</si>
  <si>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</si>
  <si>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</si>
  <si>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</si>
  <si>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</si>
  <si>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</si>
  <si>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</si>
  <si>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</si>
  <si>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</si>
  <si>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</si>
  <si>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</si>
  <si>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</si>
  <si>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</si>
  <si>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</si>
  <si>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</si>
  <si>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</si>
  <si>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</si>
  <si>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</si>
  <si>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</si>
  <si>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</si>
  <si>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</si>
  <si>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</si>
  <si>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</si>
  <si>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</si>
  <si>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</si>
  <si>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</si>
  <si>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</si>
  <si>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</si>
  <si>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</si>
  <si>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</si>
  <si>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</si>
  <si>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</si>
  <si>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</si>
  <si>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</si>
  <si>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</si>
  <si>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</si>
  <si>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</si>
  <si>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</si>
  <si>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</si>
  <si>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</si>
  <si>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</si>
  <si>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</si>
  <si>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</si>
  <si>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</si>
  <si>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</si>
  <si>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</si>
  <si>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</si>
  <si>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</si>
  <si>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</si>
  <si>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</si>
  <si>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</si>
  <si>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</si>
  <si>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</si>
  <si>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Area harvested</t>
  </si>
  <si>
    <t>2007/08</t>
  </si>
  <si>
    <t>2008/09</t>
  </si>
  <si>
    <t>2009/10</t>
  </si>
  <si>
    <t>2022/23 Feb.*</t>
  </si>
  <si>
    <t>2022/23 Mar.*</t>
  </si>
  <si>
    <t>Export price</t>
  </si>
  <si>
    <t>Date</t>
  </si>
  <si>
    <t>Argentina, Up River</t>
  </si>
  <si>
    <t>Brazil, Paranaguá</t>
  </si>
  <si>
    <t>United States, Gulf</t>
  </si>
  <si>
    <t>U.S. soybeans inspected for export</t>
  </si>
  <si>
    <t>Beginning stocks</t>
  </si>
  <si>
    <t>Total domestic consumption</t>
  </si>
  <si>
    <t>Export</t>
  </si>
  <si>
    <t>Ending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</si>
</sst>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m/d/yy;@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8">
    <xf numFmtId="0" fontId="0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6" fillId="0" borderId="0"/>
    <xf numFmtId="0" fontId="21" fillId="0" borderId="0"/>
    <xf numFmtId="0" fontId="2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4" fontId="22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23" fillId="0" borderId="0" xfId="8" applyFont="1"/>
    <xf numFmtId="0" fontId="24" fillId="0" borderId="0" xfId="8" applyFont="1"/>
    <xf numFmtId="0" fontId="29" fillId="0" borderId="0" xfId="8" applyFont="1" applyFill="1"/>
    <xf numFmtId="0" fontId="30" fillId="0" borderId="0" xfId="8" applyFont="1"/>
    <xf numFmtId="169" fontId="31" fillId="0" borderId="0" xfId="1" applyNumberFormat="1" applyFont="1" applyFill="1" applyBorder="1" applyAlignment="1">
      <alignment horizontal="center"/>
    </xf>
    <xf numFmtId="169" fontId="31" fillId="0" borderId="0" xfId="1" applyNumberFormat="1" applyFont="1" applyFill="1" applyBorder="1" applyAlignment="1">
      <alignment horizontal="right" indent="1"/>
    </xf>
    <xf numFmtId="0" fontId="37" fillId="0" borderId="0" xfId="7" applyFont="1" applyAlignment="1">
      <alignment horizontal="left"/>
    </xf>
    <xf numFmtId="0" fontId="38" fillId="0" borderId="0" xfId="5" applyFont="1" applyAlignment="1" applyProtection="1"/>
    <xf numFmtId="14" fontId="37" fillId="0" borderId="0" xfId="7" applyNumberFormat="1" applyFont="1" applyAlignment="1">
      <alignment horizontal="left"/>
    </xf>
    <xf numFmtId="0" fontId="38" fillId="0" borderId="0" xfId="4" applyFont="1" applyAlignment="1" applyProtection="1"/>
    <xf numFmtId="0" fontId="31" fillId="0" borderId="0" xfId="7" quotePrefix="1" applyFont="1" applyAlignment="1">
      <alignment horizontal="left"/>
    </xf>
    <xf numFmtId="0" fontId="31" fillId="0" borderId="0" xfId="8" applyFont="1" applyBorder="1" applyAlignment="1">
      <alignment wrapText="1"/>
    </xf>
    <xf numFmtId="169" fontId="31" fillId="0" borderId="0" xfId="1" applyNumberFormat="1" applyFont="1" applyFill="1" applyBorder="1" applyAlignment="1">
      <alignment horizontal="right"/>
    </xf>
    <xf numFmtId="2" fontId="31" fillId="0" borderId="1" xfId="0" applyNumberFormat="1" applyFont="1" applyFill="1" applyBorder="1" applyAlignment="1">
      <alignment horizontal="right" indent="2"/>
    </xf>
    <xf numFmtId="0" fontId="31" fillId="0" borderId="1" xfId="0" applyFont="1" applyFill="1" applyBorder="1"/>
    <xf numFmtId="0" fontId="0" fillId="0" borderId="0" xfId="0" applyFill="1"/>
    <xf numFmtId="0" fontId="31" fillId="0" borderId="0" xfId="0" applyFont="1" applyFill="1"/>
    <xf numFmtId="0" fontId="31" fillId="0" borderId="2" xfId="0" applyFont="1" applyFill="1" applyBorder="1" applyAlignment="1">
      <alignment horizontal="right"/>
    </xf>
    <xf numFmtId="0" fontId="31" fillId="0" borderId="0" xfId="0" applyFont="1" applyFill="1" applyAlignment="1">
      <alignment horizontal="center"/>
    </xf>
    <xf numFmtId="0" fontId="0" fillId="0" borderId="2" xfId="0" applyFill="1" applyBorder="1"/>
    <xf numFmtId="0" fontId="31" fillId="0" borderId="0" xfId="0" applyFont="1" applyFill="1" applyBorder="1"/>
    <xf numFmtId="0" fontId="31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right"/>
    </xf>
    <xf numFmtId="16" fontId="31" fillId="0" borderId="1" xfId="0" quotePrefix="1" applyNumberFormat="1" applyFont="1" applyFill="1" applyBorder="1"/>
    <xf numFmtId="16" fontId="31" fillId="0" borderId="1" xfId="0" applyNumberFormat="1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32" fillId="0" borderId="3" xfId="0" quotePrefix="1" applyFont="1" applyFill="1" applyBorder="1" applyAlignment="1">
      <alignment horizontal="center"/>
    </xf>
    <xf numFmtId="0" fontId="32" fillId="0" borderId="0" xfId="0" quotePrefix="1" applyFont="1" applyFill="1" applyAlignment="1">
      <alignment horizontal="right"/>
    </xf>
    <xf numFmtId="167" fontId="31" fillId="0" borderId="0" xfId="0" applyNumberFormat="1" applyFont="1" applyFill="1" applyAlignment="1">
      <alignment horizontal="center"/>
    </xf>
    <xf numFmtId="165" fontId="31" fillId="0" borderId="0" xfId="1" applyNumberFormat="1" applyFont="1" applyFill="1" applyAlignment="1">
      <alignment horizontal="left"/>
    </xf>
    <xf numFmtId="165" fontId="31" fillId="0" borderId="0" xfId="1" applyNumberFormat="1" applyFont="1" applyFill="1" applyAlignment="1">
      <alignment horizontal="center"/>
    </xf>
    <xf numFmtId="3" fontId="31" fillId="0" borderId="0" xfId="1" applyNumberFormat="1" applyFont="1" applyFill="1" applyBorder="1" applyAlignment="1">
      <alignment horizontal="right" indent="1"/>
    </xf>
    <xf numFmtId="164" fontId="31" fillId="0" borderId="0" xfId="1" applyNumberFormat="1" applyFont="1" applyFill="1" applyBorder="1"/>
    <xf numFmtId="164" fontId="31" fillId="0" borderId="0" xfId="1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7" fillId="0" borderId="0" xfId="0" applyFont="1" applyFill="1"/>
    <xf numFmtId="169" fontId="31" fillId="0" borderId="0" xfId="1" quotePrefix="1" applyNumberFormat="1" applyFont="1" applyFill="1" applyBorder="1" applyAlignment="1">
      <alignment horizontal="right"/>
    </xf>
    <xf numFmtId="164" fontId="31" fillId="0" borderId="0" xfId="1" applyNumberFormat="1" applyFont="1" applyFill="1" applyBorder="1" applyAlignment="1">
      <alignment horizontal="center"/>
    </xf>
    <xf numFmtId="164" fontId="31" fillId="0" borderId="0" xfId="1" quotePrefix="1" applyNumberFormat="1" applyFont="1" applyFill="1" applyBorder="1" applyAlignment="1">
      <alignment horizontal="center"/>
    </xf>
    <xf numFmtId="169" fontId="0" fillId="0" borderId="0" xfId="0" applyNumberFormat="1" applyFill="1"/>
    <xf numFmtId="169" fontId="31" fillId="0" borderId="1" xfId="1" applyNumberFormat="1" applyFont="1" applyFill="1" applyBorder="1" applyAlignment="1">
      <alignment horizontal="right" indent="1"/>
    </xf>
    <xf numFmtId="164" fontId="31" fillId="0" borderId="0" xfId="1" applyNumberFormat="1" applyFont="1" applyFill="1"/>
    <xf numFmtId="14" fontId="31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31" fillId="0" borderId="0" xfId="1" applyNumberFormat="1" applyFont="1" applyFill="1" applyAlignment="1">
      <alignment horizontal="right" indent="2"/>
    </xf>
    <xf numFmtId="3" fontId="31" fillId="0" borderId="0" xfId="1" applyNumberFormat="1" applyFont="1" applyFill="1" applyAlignment="1">
      <alignment horizontal="right" indent="1"/>
    </xf>
    <xf numFmtId="3" fontId="31" fillId="0" borderId="0" xfId="1" applyNumberFormat="1" applyFont="1" applyFill="1" applyAlignment="1">
      <alignment horizontal="center"/>
    </xf>
    <xf numFmtId="0" fontId="37" fillId="0" borderId="0" xfId="0" applyFont="1" applyFill="1" applyBorder="1"/>
    <xf numFmtId="169" fontId="31" fillId="0" borderId="0" xfId="1" applyNumberFormat="1" applyFont="1" applyFill="1" applyBorder="1" applyAlignment="1">
      <alignment horizontal="right" indent="2"/>
    </xf>
    <xf numFmtId="169" fontId="31" fillId="0" borderId="1" xfId="1" applyNumberFormat="1" applyFont="1" applyFill="1" applyBorder="1" applyAlignment="1">
      <alignment horizontal="right" indent="2"/>
    </xf>
    <xf numFmtId="0" fontId="33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1" fillId="0" borderId="1" xfId="1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right"/>
    </xf>
    <xf numFmtId="16" fontId="31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right" indent="2"/>
    </xf>
    <xf numFmtId="170" fontId="31" fillId="0" borderId="0" xfId="0" applyNumberFormat="1" applyFont="1" applyFill="1" applyBorder="1"/>
    <xf numFmtId="43" fontId="31" fillId="0" borderId="0" xfId="1" quotePrefix="1" applyNumberFormat="1" applyFont="1" applyFill="1" applyBorder="1" applyAlignment="1">
      <alignment horizontal="center"/>
    </xf>
    <xf numFmtId="166" fontId="31" fillId="0" borderId="0" xfId="1" quotePrefix="1" applyNumberFormat="1" applyFont="1" applyFill="1" applyBorder="1" applyAlignment="1">
      <alignment horizontal="center"/>
    </xf>
    <xf numFmtId="43" fontId="31" fillId="0" borderId="0" xfId="1" quotePrefix="1" applyFont="1" applyFill="1" applyBorder="1" applyAlignment="1">
      <alignment horizontal="center"/>
    </xf>
    <xf numFmtId="43" fontId="31" fillId="0" borderId="0" xfId="1" applyNumberFormat="1" applyFont="1" applyFill="1" applyBorder="1" applyAlignment="1">
      <alignment horizontal="center"/>
    </xf>
    <xf numFmtId="0" fontId="37" fillId="0" borderId="0" xfId="0" quotePrefix="1" applyFont="1" applyFill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indent="1"/>
    </xf>
    <xf numFmtId="0" fontId="31" fillId="0" borderId="3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2" fillId="0" borderId="3" xfId="0" quotePrefix="1" applyFont="1" applyFill="1" applyBorder="1" applyAlignment="1"/>
    <xf numFmtId="0" fontId="32" fillId="0" borderId="3" xfId="0" applyFont="1" applyFill="1" applyBorder="1" applyAlignment="1"/>
    <xf numFmtId="43" fontId="31" fillId="0" borderId="0" xfId="1" applyNumberFormat="1" applyFont="1" applyFill="1" applyBorder="1"/>
    <xf numFmtId="2" fontId="31" fillId="0" borderId="0" xfId="0" applyNumberFormat="1" applyFont="1" applyFill="1" applyBorder="1" applyAlignment="1">
      <alignment horizontal="center"/>
    </xf>
    <xf numFmtId="43" fontId="31" fillId="0" borderId="0" xfId="0" applyNumberFormat="1" applyFont="1" applyFill="1"/>
    <xf numFmtId="0" fontId="26" fillId="0" borderId="0" xfId="0" applyFont="1" applyFill="1"/>
    <xf numFmtId="2" fontId="0" fillId="0" borderId="0" xfId="0" applyNumberFormat="1" applyFill="1"/>
    <xf numFmtId="165" fontId="31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31" fillId="0" borderId="0" xfId="1" applyFont="1" applyFill="1" applyBorder="1" applyAlignment="1">
      <alignment horizontal="center"/>
    </xf>
    <xf numFmtId="43" fontId="0" fillId="0" borderId="0" xfId="1" applyFont="1" applyFill="1"/>
    <xf numFmtId="0" fontId="35" fillId="0" borderId="0" xfId="0" applyFont="1" applyFill="1" applyAlignment="1">
      <alignment vertical="center"/>
    </xf>
    <xf numFmtId="168" fontId="31" fillId="0" borderId="0" xfId="0" applyNumberFormat="1" applyFont="1" applyFill="1"/>
    <xf numFmtId="2" fontId="31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31" fillId="0" borderId="3" xfId="0" applyFont="1" applyFill="1" applyBorder="1"/>
    <xf numFmtId="0" fontId="31" fillId="0" borderId="0" xfId="0" applyFont="1" applyFill="1" applyBorder="1" applyAlignment="1">
      <alignment horizontal="right"/>
    </xf>
    <xf numFmtId="165" fontId="31" fillId="0" borderId="0" xfId="1" applyNumberFormat="1" applyFont="1" applyFill="1"/>
    <xf numFmtId="37" fontId="31" fillId="0" borderId="0" xfId="1" applyNumberFormat="1" applyFont="1" applyFill="1" applyBorder="1" applyAlignment="1">
      <alignment horizontal="center"/>
    </xf>
    <xf numFmtId="37" fontId="31" fillId="0" borderId="0" xfId="1" applyNumberFormat="1" applyFont="1" applyFill="1" applyBorder="1" applyAlignment="1">
      <alignment horizontal="right" indent="2"/>
    </xf>
    <xf numFmtId="165" fontId="31" fillId="0" borderId="0" xfId="1" applyNumberFormat="1" applyFont="1" applyFill="1" applyBorder="1"/>
    <xf numFmtId="37" fontId="31" fillId="0" borderId="0" xfId="1" applyNumberFormat="1" applyFont="1" applyFill="1" applyBorder="1" applyAlignment="1">
      <alignment horizontal="right" indent="1"/>
    </xf>
    <xf numFmtId="37" fontId="31" fillId="0" borderId="1" xfId="1" applyNumberFormat="1" applyFont="1" applyFill="1" applyBorder="1" applyAlignment="1">
      <alignment horizontal="center"/>
    </xf>
    <xf numFmtId="37" fontId="31" fillId="0" borderId="1" xfId="1" applyNumberFormat="1" applyFont="1" applyFill="1" applyBorder="1" applyAlignment="1">
      <alignment horizontal="right" indent="2"/>
    </xf>
    <xf numFmtId="165" fontId="31" fillId="0" borderId="1" xfId="1" applyNumberFormat="1" applyFont="1" applyFill="1" applyBorder="1"/>
    <xf numFmtId="37" fontId="31" fillId="0" borderId="1" xfId="1" applyNumberFormat="1" applyFont="1" applyFill="1" applyBorder="1" applyAlignment="1">
      <alignment horizontal="right" indent="1"/>
    </xf>
    <xf numFmtId="9" fontId="31" fillId="0" borderId="0" xfId="12" applyFont="1" applyFill="1"/>
    <xf numFmtId="1" fontId="31" fillId="0" borderId="0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4" xfId="0" applyFont="1" applyFill="1" applyBorder="1" applyAlignment="1">
      <alignment horizontal="center"/>
    </xf>
    <xf numFmtId="14" fontId="31" fillId="0" borderId="0" xfId="0" applyNumberFormat="1" applyFont="1" applyFill="1" applyAlignment="1">
      <alignment horizontal="right" indent="1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3" fontId="0" fillId="0" borderId="0" xfId="0" applyNumberFormat="1" applyFill="1"/>
    <xf numFmtId="169" fontId="31" fillId="0" borderId="0" xfId="1" applyNumberFormat="1" applyFont="1" applyFill="1" applyAlignment="1">
      <alignment horizontal="center"/>
    </xf>
    <xf numFmtId="0" fontId="33" fillId="0" borderId="3" xfId="0" applyFont="1" applyFill="1" applyBorder="1"/>
    <xf numFmtId="164" fontId="31" fillId="0" borderId="3" xfId="0" applyNumberFormat="1" applyFont="1" applyFill="1" applyBorder="1"/>
    <xf numFmtId="43" fontId="31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2" fillId="0" borderId="0" xfId="8" applyFont="1"/>
    <xf numFmtId="0" fontId="22" fillId="0" borderId="0" xfId="8" applyFont="1" applyFill="1"/>
    <xf numFmtId="0" fontId="22" fillId="0" borderId="0" xfId="0" applyFont="1" applyFill="1" applyBorder="1"/>
    <xf numFmtId="0" fontId="22" fillId="0" borderId="0" xfId="0" applyFont="1" applyFill="1"/>
    <xf numFmtId="4" fontId="40" fillId="0" borderId="0" xfId="0" applyNumberFormat="1" applyFont="1"/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172" fontId="26" fillId="0" borderId="0" xfId="12" applyNumberFormat="1" applyFont="1" applyFill="1"/>
    <xf numFmtId="2" fontId="22" fillId="0" borderId="0" xfId="0" applyNumberFormat="1" applyFont="1" applyFill="1" applyAlignment="1">
      <alignment horizontal="right"/>
    </xf>
    <xf numFmtId="4" fontId="0" fillId="0" borderId="0" xfId="0" applyNumberFormat="1"/>
    <xf numFmtId="169" fontId="31" fillId="0" borderId="0" xfId="1" applyNumberFormat="1" applyFont="1" applyBorder="1" applyAlignment="1">
      <alignment horizontal="right" indent="1"/>
    </xf>
    <xf numFmtId="0" fontId="22" fillId="0" borderId="0" xfId="20"/>
    <xf numFmtId="37" fontId="0" fillId="0" borderId="0" xfId="0" applyNumberFormat="1" applyFill="1"/>
    <xf numFmtId="165" fontId="22" fillId="0" borderId="0" xfId="20" applyNumberFormat="1"/>
    <xf numFmtId="3" fontId="43" fillId="0" borderId="0" xfId="1" applyNumberFormat="1" applyFont="1" applyFill="1"/>
    <xf numFmtId="0" fontId="37" fillId="0" borderId="0" xfId="0" quotePrefix="1" applyFont="1" applyFill="1" applyBorder="1"/>
    <xf numFmtId="173" fontId="40" fillId="0" borderId="0" xfId="0" applyNumberFormat="1" applyFont="1"/>
    <xf numFmtId="174" fontId="31" fillId="0" borderId="0" xfId="1" applyNumberFormat="1" applyFont="1" applyFill="1" applyBorder="1" applyAlignment="1">
      <alignment horizontal="right" indent="2"/>
    </xf>
    <xf numFmtId="0" fontId="41" fillId="0" borderId="0" xfId="44" applyFont="1" applyAlignment="1">
      <alignment horizontal="center"/>
    </xf>
    <xf numFmtId="164" fontId="31" fillId="2" borderId="0" xfId="1" applyNumberFormat="1" applyFont="1" applyFill="1" applyBorder="1" applyAlignment="1">
      <alignment horizontal="center"/>
    </xf>
    <xf numFmtId="0" fontId="42" fillId="0" borderId="1" xfId="46" applyFont="1" applyBorder="1" applyAlignment="1">
      <alignment horizontal="center" wrapText="1"/>
    </xf>
    <xf numFmtId="0" fontId="41" fillId="0" borderId="0" xfId="46" applyFont="1" applyAlignment="1">
      <alignment horizontal="center"/>
    </xf>
    <xf numFmtId="0" fontId="42" fillId="0" borderId="1" xfId="46" applyFont="1" applyFill="1" applyBorder="1" applyAlignment="1">
      <alignment horizontal="center" wrapText="1"/>
    </xf>
    <xf numFmtId="2" fontId="31" fillId="0" borderId="1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9" fillId="0" borderId="1" xfId="0" applyNumberFormat="1" applyFont="1" applyBorder="1" applyAlignment="1">
      <alignment horizontal="center"/>
    </xf>
    <xf numFmtId="0" fontId="41" fillId="0" borderId="0" xfId="46" applyFont="1" applyBorder="1" applyAlignment="1">
      <alignment horizontal="center" wrapText="1"/>
    </xf>
    <xf numFmtId="4" fontId="43" fillId="0" borderId="0" xfId="1" applyNumberFormat="1" applyFont="1" applyFill="1"/>
    <xf numFmtId="37" fontId="43" fillId="0" borderId="0" xfId="1" applyNumberFormat="1" applyFont="1" applyFill="1" applyAlignment="1">
      <alignment horizontal="right"/>
    </xf>
    <xf numFmtId="165" fontId="41" fillId="0" borderId="0" xfId="1" applyNumberFormat="1" applyFont="1" applyFill="1" applyBorder="1" applyAlignment="1">
      <alignment horizontal="center" wrapText="1"/>
    </xf>
    <xf numFmtId="0" fontId="44" fillId="0" borderId="7" xfId="0" applyFont="1" applyBorder="1" applyAlignment="1">
      <alignment wrapText="1"/>
    </xf>
    <xf numFmtId="165" fontId="41" fillId="0" borderId="0" xfId="1" applyNumberFormat="1" applyFont="1" applyBorder="1" applyAlignment="1">
      <alignment horizontal="center" wrapText="1"/>
    </xf>
    <xf numFmtId="165" fontId="40" fillId="0" borderId="0" xfId="1" applyNumberFormat="1" applyFont="1" applyBorder="1" applyAlignment="1">
      <alignment wrapText="1"/>
    </xf>
    <xf numFmtId="165" fontId="43" fillId="0" borderId="0" xfId="1" applyNumberFormat="1" applyFont="1" applyFill="1" applyAlignment="1">
      <alignment horizontal="right"/>
    </xf>
    <xf numFmtId="165" fontId="43" fillId="0" borderId="0" xfId="1" applyNumberFormat="1" applyFont="1" applyFill="1"/>
    <xf numFmtId="165" fontId="41" fillId="0" borderId="0" xfId="1" applyNumberFormat="1" applyFont="1" applyAlignment="1">
      <alignment horizontal="center"/>
    </xf>
    <xf numFmtId="165" fontId="41" fillId="0" borderId="0" xfId="1" quotePrefix="1" applyNumberFormat="1" applyFont="1" applyBorder="1" applyAlignment="1">
      <alignment horizontal="center" wrapText="1"/>
    </xf>
    <xf numFmtId="0" fontId="29" fillId="0" borderId="1" xfId="20" applyFont="1" applyBorder="1" applyAlignment="1">
      <alignment horizontal="centerContinuous"/>
    </xf>
    <xf numFmtId="0" fontId="22" fillId="0" borderId="1" xfId="20" applyBorder="1" applyAlignment="1">
      <alignment horizontal="centerContinuous"/>
    </xf>
    <xf numFmtId="0" fontId="42" fillId="0" borderId="1" xfId="47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175" fontId="0" fillId="0" borderId="0" xfId="0" applyNumberFormat="1"/>
    <xf numFmtId="0" fontId="45" fillId="0" borderId="0" xfId="0" applyFont="1" applyFill="1" applyBorder="1"/>
    <xf numFmtId="174" fontId="43" fillId="0" borderId="0" xfId="1" applyNumberFormat="1" applyFont="1" applyFill="1" applyAlignment="1">
      <alignment horizontal="right"/>
    </xf>
    <xf numFmtId="169" fontId="43" fillId="0" borderId="0" xfId="1" applyNumberFormat="1" applyFont="1" applyFill="1"/>
    <xf numFmtId="43" fontId="22" fillId="0" borderId="0" xfId="20" applyNumberFormat="1"/>
    <xf numFmtId="164" fontId="41" fillId="0" borderId="0" xfId="1" applyNumberFormat="1" applyFont="1" applyFill="1" applyBorder="1" applyAlignment="1">
      <alignment horizontal="center" wrapText="1"/>
    </xf>
    <xf numFmtId="164" fontId="40" fillId="0" borderId="0" xfId="1" applyNumberFormat="1" applyFont="1" applyBorder="1" applyAlignment="1">
      <alignment wrapText="1"/>
    </xf>
    <xf numFmtId="164" fontId="43" fillId="0" borderId="0" xfId="1" applyNumberFormat="1" applyFont="1" applyFill="1" applyAlignment="1">
      <alignment horizontal="right"/>
    </xf>
    <xf numFmtId="164" fontId="43" fillId="0" borderId="0" xfId="1" applyNumberFormat="1" applyFont="1" applyFill="1"/>
    <xf numFmtId="2" fontId="39" fillId="0" borderId="0" xfId="0" applyNumberFormat="1" applyFont="1" applyFill="1" applyBorder="1" applyAlignment="1">
      <alignment horizontal="right" indent="2"/>
    </xf>
    <xf numFmtId="0" fontId="31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quotePrefix="1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</cellXfs>
  <cellStyles count="48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3" xfId="44" xr:uid="{8D99E9BD-AF94-4306-8B61-749EAEFE8FD0}"/>
    <cellStyle name="Normal 11 6 3 2" xfId="47" xr:uid="{E9C554E9-6250-424B-9089-AB0F2F62FF9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B050"/>
      <color rgb="FFC0502F"/>
      <color rgb="FFD99694"/>
      <color rgb="FFC0504D"/>
      <color rgb="FFFFCF01"/>
      <color rgb="FF0000FF"/>
      <color rgb="FFFA6400"/>
      <color rgb="FFFB0BCD"/>
      <color rgb="FFFFFF00"/>
      <color rgb="FFBE4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Argentina soybean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2427050731018"/>
          <c:y val="0.19774133449146195"/>
          <c:w val="0.84283524205322236"/>
          <c:h val="0.50181744368284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Area harvested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1'!$A$2:$A$18</c:f>
              <c:strCache>
                <c:ptCount val="17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  <c:pt idx="15">
                  <c:v>2022/23 Feb.*</c:v>
                </c:pt>
                <c:pt idx="16">
                  <c:v>2022/23 Mar.*</c:v>
                </c:pt>
              </c:strCache>
            </c:strRef>
          </c:cat>
          <c:val>
            <c:numRef>
              <c:f>'Figure 1'!$B$2:$B$18</c:f>
              <c:numCache>
                <c:formatCode>#,##0_);\(#,##0\)</c:formatCode>
                <c:ptCount val="17"/>
                <c:pt idx="0">
                  <c:v>16.370999999999999</c:v>
                </c:pt>
                <c:pt idx="1">
                  <c:v>16</c:v>
                </c:pt>
                <c:pt idx="2">
                  <c:v>18.600000000000001</c:v>
                </c:pt>
                <c:pt idx="3">
                  <c:v>18.3</c:v>
                </c:pt>
                <c:pt idx="4">
                  <c:v>17.577000000000002</c:v>
                </c:pt>
                <c:pt idx="5">
                  <c:v>19.75</c:v>
                </c:pt>
                <c:pt idx="6">
                  <c:v>19.25</c:v>
                </c:pt>
                <c:pt idx="7">
                  <c:v>19.350000000000001</c:v>
                </c:pt>
                <c:pt idx="8">
                  <c:v>19.350000000000001</c:v>
                </c:pt>
                <c:pt idx="9">
                  <c:v>17.335000000000001</c:v>
                </c:pt>
                <c:pt idx="10">
                  <c:v>16.3</c:v>
                </c:pt>
                <c:pt idx="11">
                  <c:v>16.600000000000001</c:v>
                </c:pt>
                <c:pt idx="12">
                  <c:v>16.7</c:v>
                </c:pt>
                <c:pt idx="13">
                  <c:v>16.47</c:v>
                </c:pt>
                <c:pt idx="14">
                  <c:v>15.9</c:v>
                </c:pt>
                <c:pt idx="15">
                  <c:v>15.9</c:v>
                </c:pt>
                <c:pt idx="16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4C6-BADD-CEAB0F59AD2E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1'!$A$2:$A$18</c:f>
              <c:strCache>
                <c:ptCount val="17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  <c:pt idx="15">
                  <c:v>2022/23 Feb.*</c:v>
                </c:pt>
                <c:pt idx="16">
                  <c:v>2022/23 Mar.*</c:v>
                </c:pt>
              </c:strCache>
            </c:strRef>
          </c:cat>
          <c:val>
            <c:numRef>
              <c:f>'Figure 1'!$D$2:$D$18</c:f>
              <c:numCache>
                <c:formatCode>#,##0.0</c:formatCode>
                <c:ptCount val="17"/>
                <c:pt idx="0">
                  <c:v>46.2</c:v>
                </c:pt>
                <c:pt idx="1">
                  <c:v>32</c:v>
                </c:pt>
                <c:pt idx="2">
                  <c:v>54.5</c:v>
                </c:pt>
                <c:pt idx="3">
                  <c:v>49</c:v>
                </c:pt>
                <c:pt idx="4">
                  <c:v>40.1</c:v>
                </c:pt>
                <c:pt idx="5">
                  <c:v>49.3</c:v>
                </c:pt>
                <c:pt idx="6">
                  <c:v>53.4</c:v>
                </c:pt>
                <c:pt idx="7">
                  <c:v>61.45</c:v>
                </c:pt>
                <c:pt idx="8">
                  <c:v>58.8</c:v>
                </c:pt>
                <c:pt idx="9">
                  <c:v>55</c:v>
                </c:pt>
                <c:pt idx="10">
                  <c:v>37.799999999999997</c:v>
                </c:pt>
                <c:pt idx="11">
                  <c:v>55.3</c:v>
                </c:pt>
                <c:pt idx="12">
                  <c:v>48.8</c:v>
                </c:pt>
                <c:pt idx="13">
                  <c:v>46.2</c:v>
                </c:pt>
                <c:pt idx="14">
                  <c:v>43.9</c:v>
                </c:pt>
                <c:pt idx="15">
                  <c:v>41</c:v>
                </c:pt>
                <c:pt idx="1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D-44C6-BADD-CEAB0F59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1'!$C$1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1'!$A$2:$A$18</c:f>
              <c:strCache>
                <c:ptCount val="17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  <c:pt idx="15">
                  <c:v>2022/23 Feb.*</c:v>
                </c:pt>
                <c:pt idx="16">
                  <c:v>2022/23 Mar.*</c:v>
                </c:pt>
              </c:strCache>
            </c:strRef>
          </c:cat>
          <c:val>
            <c:numRef>
              <c:f>'Figure 1'!$C$2:$C$18</c:f>
              <c:numCache>
                <c:formatCode>#,##0.00</c:formatCode>
                <c:ptCount val="17"/>
                <c:pt idx="0">
                  <c:v>2.822063404801173</c:v>
                </c:pt>
                <c:pt idx="1">
                  <c:v>2</c:v>
                </c:pt>
                <c:pt idx="2">
                  <c:v>2.9301075268817205</c:v>
                </c:pt>
                <c:pt idx="3">
                  <c:v>2.6775956284153004</c:v>
                </c:pt>
                <c:pt idx="4">
                  <c:v>2.2813904534334641</c:v>
                </c:pt>
                <c:pt idx="5">
                  <c:v>2.4962025316455696</c:v>
                </c:pt>
                <c:pt idx="6">
                  <c:v>2.7740259740259741</c:v>
                </c:pt>
                <c:pt idx="7">
                  <c:v>3.1757105943152455</c:v>
                </c:pt>
                <c:pt idx="8">
                  <c:v>3.0387596899224807</c:v>
                </c:pt>
                <c:pt idx="9">
                  <c:v>3.1727718488606866</c:v>
                </c:pt>
                <c:pt idx="10">
                  <c:v>2.3190184049079754</c:v>
                </c:pt>
                <c:pt idx="11">
                  <c:v>3.3313253012048194</c:v>
                </c:pt>
                <c:pt idx="12">
                  <c:v>2.9221556886227544</c:v>
                </c:pt>
                <c:pt idx="13">
                  <c:v>2.8051001821493626</c:v>
                </c:pt>
                <c:pt idx="14">
                  <c:v>2.7610062893081762</c:v>
                </c:pt>
                <c:pt idx="15">
                  <c:v>2.5786163522012577</c:v>
                </c:pt>
                <c:pt idx="16">
                  <c:v>2.129032258064516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0D-44C6-BADD-CEAB0F59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438608"/>
        <c:axId val="1648460240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71945405493"/>
              <c:y val="0.82872651573438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hectares/</a:t>
                </a:r>
              </a:p>
              <a:p>
                <a:pPr algn="l">
                  <a:defRPr/>
                </a:pPr>
                <a:r>
                  <a:rPr lang="en-US" sz="900" baseline="0"/>
                  <a:t>Million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6325615548056493E-2"/>
              <c:y val="8.72256525488270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6484602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Tons</a:t>
                </a:r>
                <a:r>
                  <a:rPr lang="en-US" sz="900" baseline="0"/>
                  <a:t> per hectare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3848290598290609"/>
              <c:y val="0.1022229873357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438608"/>
        <c:crosses val="max"/>
        <c:crossBetween val="between"/>
      </c:valAx>
      <c:catAx>
        <c:axId val="164843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46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96009152702066"/>
          <c:y val="0.14001270674499022"/>
          <c:w val="0.74164580388989843"/>
          <c:h val="7.0936966212556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export inspections and prices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750328083989492E-2"/>
          <c:y val="0.18675987091950699"/>
          <c:w val="0.85309317585301836"/>
          <c:h val="0.56897792187741236"/>
        </c:manualLayout>
      </c:layout>
      <c:areaChart>
        <c:grouping val="standard"/>
        <c:varyColors val="0"/>
        <c:ser>
          <c:idx val="3"/>
          <c:order val="3"/>
          <c:tx>
            <c:strRef>
              <c:f>'Figure 2'!$E$2</c:f>
              <c:strCache>
                <c:ptCount val="1"/>
                <c:pt idx="0">
                  <c:v>U.S. soybeans inspected for export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2'!$E$3:$E$185</c:f>
              <c:numCache>
                <c:formatCode>General</c:formatCode>
                <c:ptCount val="183"/>
                <c:pt idx="0">
                  <c:v>52.298999999999999</c:v>
                </c:pt>
                <c:pt idx="1">
                  <c:v>92.058999999999997</c:v>
                </c:pt>
                <c:pt idx="2">
                  <c:v>64.754999999999995</c:v>
                </c:pt>
                <c:pt idx="3">
                  <c:v>71.399000000000001</c:v>
                </c:pt>
                <c:pt idx="4">
                  <c:v>70.757000000000005</c:v>
                </c:pt>
                <c:pt idx="5">
                  <c:v>18.986999999999998</c:v>
                </c:pt>
                <c:pt idx="6">
                  <c:v>15.448</c:v>
                </c:pt>
                <c:pt idx="7">
                  <c:v>8.3079999999999998</c:v>
                </c:pt>
                <c:pt idx="8">
                  <c:v>29.859000000000002</c:v>
                </c:pt>
                <c:pt idx="9">
                  <c:v>72.188999999999993</c:v>
                </c:pt>
                <c:pt idx="10">
                  <c:v>113.032</c:v>
                </c:pt>
                <c:pt idx="11">
                  <c:v>59.530999999999999</c:v>
                </c:pt>
                <c:pt idx="12">
                  <c:v>50.366</c:v>
                </c:pt>
                <c:pt idx="13">
                  <c:v>55.600999999999999</c:v>
                </c:pt>
                <c:pt idx="14">
                  <c:v>140.49</c:v>
                </c:pt>
                <c:pt idx="15">
                  <c:v>42.749000000000002</c:v>
                </c:pt>
                <c:pt idx="16">
                  <c:v>8.8670000000000009</c:v>
                </c:pt>
                <c:pt idx="17">
                  <c:v>86.998999999999995</c:v>
                </c:pt>
                <c:pt idx="18">
                  <c:v>64.328000000000003</c:v>
                </c:pt>
                <c:pt idx="19">
                  <c:v>50.732999999999997</c:v>
                </c:pt>
                <c:pt idx="20">
                  <c:v>2.84</c:v>
                </c:pt>
                <c:pt idx="21">
                  <c:v>34.994</c:v>
                </c:pt>
                <c:pt idx="22">
                  <c:v>75.721999999999994</c:v>
                </c:pt>
                <c:pt idx="23">
                  <c:v>35.192999999999998</c:v>
                </c:pt>
                <c:pt idx="24">
                  <c:v>54.973999999999997</c:v>
                </c:pt>
                <c:pt idx="25">
                  <c:v>120.572</c:v>
                </c:pt>
                <c:pt idx="26">
                  <c:v>67.254000000000005</c:v>
                </c:pt>
                <c:pt idx="27">
                  <c:v>138.69900000000001</c:v>
                </c:pt>
                <c:pt idx="28">
                  <c:v>117.282</c:v>
                </c:pt>
                <c:pt idx="29">
                  <c:v>108.14</c:v>
                </c:pt>
                <c:pt idx="30">
                  <c:v>93.134</c:v>
                </c:pt>
                <c:pt idx="31">
                  <c:v>68.099999999999994</c:v>
                </c:pt>
                <c:pt idx="32">
                  <c:v>77.328000000000003</c:v>
                </c:pt>
                <c:pt idx="33">
                  <c:v>182.81</c:v>
                </c:pt>
                <c:pt idx="34">
                  <c:v>139.00299999999999</c:v>
                </c:pt>
                <c:pt idx="35">
                  <c:v>308.26400000000001</c:v>
                </c:pt>
                <c:pt idx="36">
                  <c:v>317.709</c:v>
                </c:pt>
                <c:pt idx="37">
                  <c:v>325.72000000000003</c:v>
                </c:pt>
                <c:pt idx="38">
                  <c:v>113.901</c:v>
                </c:pt>
                <c:pt idx="39">
                  <c:v>316.87299999999999</c:v>
                </c:pt>
                <c:pt idx="40">
                  <c:v>301.64100000000002</c:v>
                </c:pt>
                <c:pt idx="41">
                  <c:v>228.92099999999999</c:v>
                </c:pt>
                <c:pt idx="42">
                  <c:v>322.13</c:v>
                </c:pt>
                <c:pt idx="43">
                  <c:v>599.08500000000004</c:v>
                </c:pt>
                <c:pt idx="44">
                  <c:v>365.93099999999998</c:v>
                </c:pt>
                <c:pt idx="45">
                  <c:v>475.96</c:v>
                </c:pt>
                <c:pt idx="46">
                  <c:v>259.08</c:v>
                </c:pt>
                <c:pt idx="47">
                  <c:v>549.822</c:v>
                </c:pt>
                <c:pt idx="48">
                  <c:v>312.29000000000002</c:v>
                </c:pt>
                <c:pt idx="49">
                  <c:v>358.25</c:v>
                </c:pt>
                <c:pt idx="50">
                  <c:v>299.61599999999999</c:v>
                </c:pt>
                <c:pt idx="51">
                  <c:v>420.56200000000001</c:v>
                </c:pt>
                <c:pt idx="52">
                  <c:v>452.35700000000003</c:v>
                </c:pt>
                <c:pt idx="53">
                  <c:v>306.399</c:v>
                </c:pt>
                <c:pt idx="54">
                  <c:v>395.00799999999998</c:v>
                </c:pt>
                <c:pt idx="55">
                  <c:v>309.01100000000002</c:v>
                </c:pt>
                <c:pt idx="56">
                  <c:v>403.27499999999998</c:v>
                </c:pt>
                <c:pt idx="57">
                  <c:v>291.81400000000002</c:v>
                </c:pt>
                <c:pt idx="58">
                  <c:v>374.77699999999999</c:v>
                </c:pt>
                <c:pt idx="59">
                  <c:v>387.05799999999999</c:v>
                </c:pt>
                <c:pt idx="60">
                  <c:v>440.64</c:v>
                </c:pt>
                <c:pt idx="61">
                  <c:v>318.41399999999999</c:v>
                </c:pt>
                <c:pt idx="62">
                  <c:v>312.19299999999998</c:v>
                </c:pt>
                <c:pt idx="63">
                  <c:v>483.536</c:v>
                </c:pt>
                <c:pt idx="64">
                  <c:v>143.88999999999999</c:v>
                </c:pt>
                <c:pt idx="65">
                  <c:v>189.024</c:v>
                </c:pt>
                <c:pt idx="66">
                  <c:v>458.15800000000002</c:v>
                </c:pt>
                <c:pt idx="67">
                  <c:v>350.59199999999998</c:v>
                </c:pt>
                <c:pt idx="68">
                  <c:v>169.66499999999999</c:v>
                </c:pt>
                <c:pt idx="69">
                  <c:v>493.97500000000002</c:v>
                </c:pt>
                <c:pt idx="70">
                  <c:v>224.369</c:v>
                </c:pt>
                <c:pt idx="71">
                  <c:v>221.14699999999999</c:v>
                </c:pt>
                <c:pt idx="72">
                  <c:v>573.37599999999998</c:v>
                </c:pt>
                <c:pt idx="73">
                  <c:v>455.60300000000001</c:v>
                </c:pt>
                <c:pt idx="74">
                  <c:v>123.773</c:v>
                </c:pt>
                <c:pt idx="75">
                  <c:v>315.654</c:v>
                </c:pt>
                <c:pt idx="76">
                  <c:v>361.79500000000002</c:v>
                </c:pt>
                <c:pt idx="77">
                  <c:v>442.30700000000002</c:v>
                </c:pt>
                <c:pt idx="78">
                  <c:v>295.39600000000002</c:v>
                </c:pt>
                <c:pt idx="79">
                  <c:v>76.067999999999998</c:v>
                </c:pt>
                <c:pt idx="80">
                  <c:v>453.56799999999998</c:v>
                </c:pt>
                <c:pt idx="81">
                  <c:v>414.07299999999998</c:v>
                </c:pt>
                <c:pt idx="82">
                  <c:v>353.15</c:v>
                </c:pt>
                <c:pt idx="83">
                  <c:v>333.06599999999997</c:v>
                </c:pt>
                <c:pt idx="84">
                  <c:v>304.12299999999999</c:v>
                </c:pt>
                <c:pt idx="85">
                  <c:v>139.25</c:v>
                </c:pt>
                <c:pt idx="86">
                  <c:v>76.179000000000002</c:v>
                </c:pt>
                <c:pt idx="87">
                  <c:v>405.33</c:v>
                </c:pt>
                <c:pt idx="88">
                  <c:v>319.57299999999998</c:v>
                </c:pt>
                <c:pt idx="89">
                  <c:v>366.65600000000001</c:v>
                </c:pt>
                <c:pt idx="90">
                  <c:v>363.92</c:v>
                </c:pt>
                <c:pt idx="91">
                  <c:v>410.75700000000001</c:v>
                </c:pt>
                <c:pt idx="92">
                  <c:v>367.15899999999999</c:v>
                </c:pt>
                <c:pt idx="93">
                  <c:v>299.58600000000001</c:v>
                </c:pt>
                <c:pt idx="94">
                  <c:v>100.764</c:v>
                </c:pt>
                <c:pt idx="95">
                  <c:v>302.726</c:v>
                </c:pt>
                <c:pt idx="96">
                  <c:v>301.11500000000001</c:v>
                </c:pt>
                <c:pt idx="97">
                  <c:v>178.54599999999999</c:v>
                </c:pt>
                <c:pt idx="98">
                  <c:v>328.553</c:v>
                </c:pt>
                <c:pt idx="99">
                  <c:v>414.72899999999998</c:v>
                </c:pt>
                <c:pt idx="100">
                  <c:v>133.69499999999999</c:v>
                </c:pt>
                <c:pt idx="101">
                  <c:v>243.02799999999999</c:v>
                </c:pt>
                <c:pt idx="102">
                  <c:v>203.72499999999999</c:v>
                </c:pt>
                <c:pt idx="103">
                  <c:v>277.41800000000001</c:v>
                </c:pt>
                <c:pt idx="104">
                  <c:v>241.578</c:v>
                </c:pt>
                <c:pt idx="105">
                  <c:v>452.89499999999998</c:v>
                </c:pt>
                <c:pt idx="106">
                  <c:v>321.72300000000001</c:v>
                </c:pt>
                <c:pt idx="107">
                  <c:v>251.238</c:v>
                </c:pt>
                <c:pt idx="108">
                  <c:v>430.613</c:v>
                </c:pt>
                <c:pt idx="109">
                  <c:v>196.387</c:v>
                </c:pt>
                <c:pt idx="110">
                  <c:v>131.107</c:v>
                </c:pt>
                <c:pt idx="111">
                  <c:v>353.47</c:v>
                </c:pt>
                <c:pt idx="112">
                  <c:v>102.464</c:v>
                </c:pt>
                <c:pt idx="113">
                  <c:v>184.755</c:v>
                </c:pt>
                <c:pt idx="114">
                  <c:v>123.187</c:v>
                </c:pt>
                <c:pt idx="115">
                  <c:v>118.79</c:v>
                </c:pt>
                <c:pt idx="116">
                  <c:v>88.141999999999996</c:v>
                </c:pt>
                <c:pt idx="117">
                  <c:v>294.02699999999999</c:v>
                </c:pt>
                <c:pt idx="118">
                  <c:v>428.33100000000002</c:v>
                </c:pt>
                <c:pt idx="119">
                  <c:v>239.36</c:v>
                </c:pt>
                <c:pt idx="120">
                  <c:v>159.07499999999999</c:v>
                </c:pt>
                <c:pt idx="121">
                  <c:v>395.00099999999998</c:v>
                </c:pt>
                <c:pt idx="122">
                  <c:v>148.52099999999999</c:v>
                </c:pt>
                <c:pt idx="123">
                  <c:v>120.31100000000001</c:v>
                </c:pt>
                <c:pt idx="124">
                  <c:v>292.60300000000001</c:v>
                </c:pt>
                <c:pt idx="125">
                  <c:v>104.048</c:v>
                </c:pt>
                <c:pt idx="126">
                  <c:v>241.202</c:v>
                </c:pt>
                <c:pt idx="127">
                  <c:v>424.31299999999999</c:v>
                </c:pt>
                <c:pt idx="128">
                  <c:v>175.85300000000001</c:v>
                </c:pt>
                <c:pt idx="129">
                  <c:v>289.06299999999999</c:v>
                </c:pt>
                <c:pt idx="130">
                  <c:v>243.86600000000001</c:v>
                </c:pt>
                <c:pt idx="131">
                  <c:v>359.86099999999999</c:v>
                </c:pt>
                <c:pt idx="132">
                  <c:v>596.40200000000004</c:v>
                </c:pt>
                <c:pt idx="133">
                  <c:v>102.31100000000001</c:v>
                </c:pt>
                <c:pt idx="134">
                  <c:v>250.32900000000001</c:v>
                </c:pt>
                <c:pt idx="135">
                  <c:v>462.63099999999997</c:v>
                </c:pt>
                <c:pt idx="136">
                  <c:v>122.902</c:v>
                </c:pt>
                <c:pt idx="137">
                  <c:v>216.102</c:v>
                </c:pt>
                <c:pt idx="138">
                  <c:v>358.584</c:v>
                </c:pt>
                <c:pt idx="139">
                  <c:v>317.779</c:v>
                </c:pt>
                <c:pt idx="140">
                  <c:v>110.855</c:v>
                </c:pt>
                <c:pt idx="141">
                  <c:v>261.32400000000001</c:v>
                </c:pt>
                <c:pt idx="142">
                  <c:v>81.010999999999996</c:v>
                </c:pt>
                <c:pt idx="143">
                  <c:v>373.90800000000002</c:v>
                </c:pt>
                <c:pt idx="144">
                  <c:v>366.73</c:v>
                </c:pt>
                <c:pt idx="145">
                  <c:v>284.87</c:v>
                </c:pt>
                <c:pt idx="146">
                  <c:v>172.095</c:v>
                </c:pt>
                <c:pt idx="147">
                  <c:v>391.20800000000003</c:v>
                </c:pt>
                <c:pt idx="148">
                  <c:v>306.84899999999999</c:v>
                </c:pt>
                <c:pt idx="149">
                  <c:v>336.47899999999998</c:v>
                </c:pt>
                <c:pt idx="150">
                  <c:v>291.815</c:v>
                </c:pt>
                <c:pt idx="151">
                  <c:v>122.417</c:v>
                </c:pt>
                <c:pt idx="152">
                  <c:v>283.41699999999997</c:v>
                </c:pt>
                <c:pt idx="153">
                  <c:v>189.399</c:v>
                </c:pt>
                <c:pt idx="154">
                  <c:v>384.25700000000001</c:v>
                </c:pt>
                <c:pt idx="155">
                  <c:v>203.11500000000001</c:v>
                </c:pt>
                <c:pt idx="156">
                  <c:v>164.184</c:v>
                </c:pt>
                <c:pt idx="157">
                  <c:v>211.94900000000001</c:v>
                </c:pt>
                <c:pt idx="158">
                  <c:v>311.76499999999999</c:v>
                </c:pt>
                <c:pt idx="159">
                  <c:v>218.32300000000001</c:v>
                </c:pt>
                <c:pt idx="160">
                  <c:v>276.48500000000001</c:v>
                </c:pt>
                <c:pt idx="161">
                  <c:v>307.46699999999998</c:v>
                </c:pt>
                <c:pt idx="162">
                  <c:v>400.077</c:v>
                </c:pt>
                <c:pt idx="163">
                  <c:v>17.599</c:v>
                </c:pt>
                <c:pt idx="164">
                  <c:v>147.53700000000001</c:v>
                </c:pt>
                <c:pt idx="165">
                  <c:v>300.46699999999998</c:v>
                </c:pt>
                <c:pt idx="166">
                  <c:v>289.82900000000001</c:v>
                </c:pt>
                <c:pt idx="167">
                  <c:v>326.62299999999999</c:v>
                </c:pt>
                <c:pt idx="168">
                  <c:v>101.761</c:v>
                </c:pt>
                <c:pt idx="169">
                  <c:v>130.83099999999999</c:v>
                </c:pt>
                <c:pt idx="170">
                  <c:v>134.83699999999999</c:v>
                </c:pt>
                <c:pt idx="171">
                  <c:v>130.102</c:v>
                </c:pt>
                <c:pt idx="172">
                  <c:v>24.861999999999998</c:v>
                </c:pt>
                <c:pt idx="173">
                  <c:v>164.10900000000001</c:v>
                </c:pt>
                <c:pt idx="174">
                  <c:v>88.350999999999999</c:v>
                </c:pt>
                <c:pt idx="175">
                  <c:v>92.123000000000005</c:v>
                </c:pt>
                <c:pt idx="176">
                  <c:v>42.921999999999997</c:v>
                </c:pt>
                <c:pt idx="177">
                  <c:v>36.923999999999999</c:v>
                </c:pt>
                <c:pt idx="178">
                  <c:v>230.80799999999999</c:v>
                </c:pt>
                <c:pt idx="179">
                  <c:v>72.653000000000006</c:v>
                </c:pt>
                <c:pt idx="180">
                  <c:v>115.714</c:v>
                </c:pt>
                <c:pt idx="181">
                  <c:v>18.667999999999999</c:v>
                </c:pt>
                <c:pt idx="182">
                  <c:v>24.548999999999999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1-4AD3-A919-FEC70EE2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lineChart>
        <c:grouping val="standar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Argentina, Up River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2'!$B$3:$B$185</c:f>
              <c:numCache>
                <c:formatCode>General</c:formatCode>
                <c:ptCount val="183"/>
                <c:pt idx="0">
                  <c:v>597</c:v>
                </c:pt>
                <c:pt idx="1">
                  <c:v>597</c:v>
                </c:pt>
                <c:pt idx="4">
                  <c:v>605</c:v>
                </c:pt>
                <c:pt idx="5">
                  <c:v>592</c:v>
                </c:pt>
                <c:pt idx="6">
                  <c:v>583</c:v>
                </c:pt>
                <c:pt idx="7">
                  <c:v>577</c:v>
                </c:pt>
                <c:pt idx="8">
                  <c:v>582</c:v>
                </c:pt>
                <c:pt idx="11">
                  <c:v>607</c:v>
                </c:pt>
                <c:pt idx="12">
                  <c:v>594</c:v>
                </c:pt>
                <c:pt idx="13">
                  <c:v>585</c:v>
                </c:pt>
                <c:pt idx="14">
                  <c:v>579</c:v>
                </c:pt>
                <c:pt idx="15">
                  <c:v>578</c:v>
                </c:pt>
                <c:pt idx="18">
                  <c:v>583</c:v>
                </c:pt>
                <c:pt idx="19">
                  <c:v>589</c:v>
                </c:pt>
                <c:pt idx="20">
                  <c:v>584</c:v>
                </c:pt>
                <c:pt idx="21">
                  <c:v>581</c:v>
                </c:pt>
                <c:pt idx="22">
                  <c:v>570</c:v>
                </c:pt>
                <c:pt idx="25">
                  <c:v>565</c:v>
                </c:pt>
                <c:pt idx="26">
                  <c:v>565</c:v>
                </c:pt>
                <c:pt idx="27">
                  <c:v>565</c:v>
                </c:pt>
                <c:pt idx="28">
                  <c:v>566</c:v>
                </c:pt>
                <c:pt idx="29">
                  <c:v>562</c:v>
                </c:pt>
                <c:pt idx="32">
                  <c:v>565</c:v>
                </c:pt>
                <c:pt idx="33">
                  <c:v>574</c:v>
                </c:pt>
                <c:pt idx="34">
                  <c:v>569</c:v>
                </c:pt>
                <c:pt idx="35">
                  <c:v>565</c:v>
                </c:pt>
                <c:pt idx="36">
                  <c:v>565</c:v>
                </c:pt>
                <c:pt idx="39">
                  <c:v>568</c:v>
                </c:pt>
                <c:pt idx="40">
                  <c:v>579</c:v>
                </c:pt>
                <c:pt idx="41">
                  <c:v>592</c:v>
                </c:pt>
                <c:pt idx="42">
                  <c:v>592</c:v>
                </c:pt>
                <c:pt idx="43">
                  <c:v>589</c:v>
                </c:pt>
                <c:pt idx="46">
                  <c:v>590</c:v>
                </c:pt>
                <c:pt idx="47">
                  <c:v>585</c:v>
                </c:pt>
                <c:pt idx="48">
                  <c:v>590</c:v>
                </c:pt>
                <c:pt idx="49">
                  <c:v>598</c:v>
                </c:pt>
                <c:pt idx="50">
                  <c:v>599</c:v>
                </c:pt>
                <c:pt idx="53">
                  <c:v>590</c:v>
                </c:pt>
                <c:pt idx="54">
                  <c:v>594</c:v>
                </c:pt>
                <c:pt idx="55">
                  <c:v>594</c:v>
                </c:pt>
                <c:pt idx="56">
                  <c:v>590</c:v>
                </c:pt>
                <c:pt idx="57">
                  <c:v>594</c:v>
                </c:pt>
                <c:pt idx="60">
                  <c:v>603</c:v>
                </c:pt>
                <c:pt idx="61">
                  <c:v>607</c:v>
                </c:pt>
                <c:pt idx="62">
                  <c:v>610</c:v>
                </c:pt>
                <c:pt idx="63">
                  <c:v>607</c:v>
                </c:pt>
                <c:pt idx="64">
                  <c:v>614</c:v>
                </c:pt>
                <c:pt idx="67">
                  <c:v>610</c:v>
                </c:pt>
                <c:pt idx="68">
                  <c:v>609</c:v>
                </c:pt>
                <c:pt idx="69">
                  <c:v>611</c:v>
                </c:pt>
                <c:pt idx="70">
                  <c:v>600</c:v>
                </c:pt>
                <c:pt idx="71">
                  <c:v>608</c:v>
                </c:pt>
                <c:pt idx="74">
                  <c:v>605</c:v>
                </c:pt>
                <c:pt idx="75">
                  <c:v>611</c:v>
                </c:pt>
                <c:pt idx="76">
                  <c:v>597</c:v>
                </c:pt>
                <c:pt idx="77">
                  <c:v>597</c:v>
                </c:pt>
                <c:pt idx="78">
                  <c:v>596</c:v>
                </c:pt>
                <c:pt idx="81">
                  <c:v>596</c:v>
                </c:pt>
                <c:pt idx="82">
                  <c:v>591</c:v>
                </c:pt>
                <c:pt idx="83">
                  <c:v>592</c:v>
                </c:pt>
                <c:pt idx="84">
                  <c:v>592</c:v>
                </c:pt>
                <c:pt idx="85">
                  <c:v>592</c:v>
                </c:pt>
                <c:pt idx="88">
                  <c:v>591</c:v>
                </c:pt>
                <c:pt idx="89">
                  <c:v>589</c:v>
                </c:pt>
                <c:pt idx="90">
                  <c:v>592</c:v>
                </c:pt>
                <c:pt idx="91">
                  <c:v>586</c:v>
                </c:pt>
                <c:pt idx="92">
                  <c:v>589</c:v>
                </c:pt>
                <c:pt idx="95">
                  <c:v>589</c:v>
                </c:pt>
                <c:pt idx="96">
                  <c:v>604</c:v>
                </c:pt>
                <c:pt idx="97">
                  <c:v>611</c:v>
                </c:pt>
                <c:pt idx="98">
                  <c:v>616</c:v>
                </c:pt>
                <c:pt idx="99">
                  <c:v>615</c:v>
                </c:pt>
                <c:pt idx="102">
                  <c:v>614</c:v>
                </c:pt>
                <c:pt idx="103">
                  <c:v>630</c:v>
                </c:pt>
                <c:pt idx="104">
                  <c:v>631</c:v>
                </c:pt>
                <c:pt idx="105">
                  <c:v>628</c:v>
                </c:pt>
                <c:pt idx="106">
                  <c:v>625</c:v>
                </c:pt>
                <c:pt idx="109">
                  <c:v>625</c:v>
                </c:pt>
                <c:pt idx="110">
                  <c:v>625</c:v>
                </c:pt>
                <c:pt idx="111">
                  <c:v>630</c:v>
                </c:pt>
                <c:pt idx="112">
                  <c:v>625</c:v>
                </c:pt>
                <c:pt idx="113">
                  <c:v>629</c:v>
                </c:pt>
                <c:pt idx="116">
                  <c:v>625</c:v>
                </c:pt>
                <c:pt idx="117">
                  <c:v>625</c:v>
                </c:pt>
                <c:pt idx="118">
                  <c:v>614</c:v>
                </c:pt>
                <c:pt idx="119">
                  <c:v>615</c:v>
                </c:pt>
                <c:pt idx="120">
                  <c:v>619</c:v>
                </c:pt>
                <c:pt idx="123">
                  <c:v>618</c:v>
                </c:pt>
                <c:pt idx="124">
                  <c:v>610</c:v>
                </c:pt>
                <c:pt idx="125">
                  <c:v>606</c:v>
                </c:pt>
                <c:pt idx="126">
                  <c:v>601</c:v>
                </c:pt>
                <c:pt idx="127">
                  <c:v>612</c:v>
                </c:pt>
                <c:pt idx="130">
                  <c:v>613</c:v>
                </c:pt>
                <c:pt idx="131">
                  <c:v>615</c:v>
                </c:pt>
                <c:pt idx="132">
                  <c:v>617</c:v>
                </c:pt>
                <c:pt idx="133">
                  <c:v>623</c:v>
                </c:pt>
                <c:pt idx="134">
                  <c:v>626</c:v>
                </c:pt>
                <c:pt idx="137">
                  <c:v>626</c:v>
                </c:pt>
                <c:pt idx="138">
                  <c:v>626</c:v>
                </c:pt>
                <c:pt idx="139">
                  <c:v>621</c:v>
                </c:pt>
                <c:pt idx="140">
                  <c:v>617</c:v>
                </c:pt>
                <c:pt idx="141">
                  <c:v>614</c:v>
                </c:pt>
                <c:pt idx="144">
                  <c:v>608</c:v>
                </c:pt>
                <c:pt idx="145">
                  <c:v>608</c:v>
                </c:pt>
                <c:pt idx="146">
                  <c:v>613</c:v>
                </c:pt>
                <c:pt idx="147">
                  <c:v>620</c:v>
                </c:pt>
                <c:pt idx="148">
                  <c:v>615</c:v>
                </c:pt>
                <c:pt idx="151">
                  <c:v>625</c:v>
                </c:pt>
                <c:pt idx="152">
                  <c:v>626</c:v>
                </c:pt>
                <c:pt idx="153">
                  <c:v>619</c:v>
                </c:pt>
                <c:pt idx="154">
                  <c:v>624</c:v>
                </c:pt>
                <c:pt idx="155">
                  <c:v>624</c:v>
                </c:pt>
                <c:pt idx="158">
                  <c:v>620</c:v>
                </c:pt>
                <c:pt idx="159">
                  <c:v>617</c:v>
                </c:pt>
                <c:pt idx="160">
                  <c:v>617</c:v>
                </c:pt>
                <c:pt idx="161">
                  <c:v>619</c:v>
                </c:pt>
                <c:pt idx="162">
                  <c:v>627</c:v>
                </c:pt>
                <c:pt idx="165">
                  <c:v>627</c:v>
                </c:pt>
                <c:pt idx="166">
                  <c:v>626</c:v>
                </c:pt>
                <c:pt idx="167">
                  <c:v>621</c:v>
                </c:pt>
                <c:pt idx="168">
                  <c:v>622</c:v>
                </c:pt>
                <c:pt idx="169">
                  <c:v>622</c:v>
                </c:pt>
                <c:pt idx="172">
                  <c:v>622</c:v>
                </c:pt>
                <c:pt idx="173">
                  <c:v>630</c:v>
                </c:pt>
                <c:pt idx="174">
                  <c:v>626</c:v>
                </c:pt>
                <c:pt idx="175">
                  <c:v>624</c:v>
                </c:pt>
                <c:pt idx="176">
                  <c:v>622</c:v>
                </c:pt>
                <c:pt idx="179">
                  <c:v>618</c:v>
                </c:pt>
                <c:pt idx="180">
                  <c:v>608</c:v>
                </c:pt>
                <c:pt idx="181">
                  <c:v>610</c:v>
                </c:pt>
                <c:pt idx="182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1-4AD3-A919-FEC70EE265F5}"/>
            </c:ext>
          </c:extLst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Brazil, Paranaguá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2'!$C$3:$C$185</c:f>
              <c:numCache>
                <c:formatCode>General</c:formatCode>
                <c:ptCount val="183"/>
                <c:pt idx="0">
                  <c:v>610</c:v>
                </c:pt>
                <c:pt idx="1">
                  <c:v>617</c:v>
                </c:pt>
                <c:pt idx="4">
                  <c:v>621</c:v>
                </c:pt>
                <c:pt idx="5">
                  <c:v>617</c:v>
                </c:pt>
                <c:pt idx="6">
                  <c:v>611</c:v>
                </c:pt>
                <c:pt idx="7">
                  <c:v>607</c:v>
                </c:pt>
                <c:pt idx="8">
                  <c:v>613</c:v>
                </c:pt>
                <c:pt idx="11">
                  <c:v>637</c:v>
                </c:pt>
                <c:pt idx="12">
                  <c:v>622</c:v>
                </c:pt>
                <c:pt idx="13">
                  <c:v>608</c:v>
                </c:pt>
                <c:pt idx="14">
                  <c:v>607</c:v>
                </c:pt>
                <c:pt idx="15">
                  <c:v>606</c:v>
                </c:pt>
                <c:pt idx="18">
                  <c:v>612</c:v>
                </c:pt>
                <c:pt idx="19">
                  <c:v>619</c:v>
                </c:pt>
                <c:pt idx="20">
                  <c:v>610</c:v>
                </c:pt>
                <c:pt idx="21">
                  <c:v>611</c:v>
                </c:pt>
                <c:pt idx="22">
                  <c:v>601</c:v>
                </c:pt>
                <c:pt idx="25">
                  <c:v>595</c:v>
                </c:pt>
                <c:pt idx="26">
                  <c:v>591</c:v>
                </c:pt>
                <c:pt idx="27">
                  <c:v>591</c:v>
                </c:pt>
                <c:pt idx="28">
                  <c:v>593</c:v>
                </c:pt>
                <c:pt idx="29">
                  <c:v>576</c:v>
                </c:pt>
                <c:pt idx="32">
                  <c:v>582</c:v>
                </c:pt>
                <c:pt idx="33">
                  <c:v>587</c:v>
                </c:pt>
                <c:pt idx="34">
                  <c:v>583</c:v>
                </c:pt>
                <c:pt idx="35">
                  <c:v>582</c:v>
                </c:pt>
                <c:pt idx="36">
                  <c:v>598</c:v>
                </c:pt>
                <c:pt idx="39">
                  <c:v>600</c:v>
                </c:pt>
                <c:pt idx="40">
                  <c:v>601</c:v>
                </c:pt>
                <c:pt idx="41">
                  <c:v>607</c:v>
                </c:pt>
                <c:pt idx="42">
                  <c:v>608</c:v>
                </c:pt>
                <c:pt idx="43">
                  <c:v>604</c:v>
                </c:pt>
                <c:pt idx="46">
                  <c:v>608</c:v>
                </c:pt>
                <c:pt idx="47">
                  <c:v>603</c:v>
                </c:pt>
                <c:pt idx="48">
                  <c:v>600</c:v>
                </c:pt>
                <c:pt idx="49">
                  <c:v>601</c:v>
                </c:pt>
                <c:pt idx="50">
                  <c:v>605</c:v>
                </c:pt>
                <c:pt idx="53">
                  <c:v>596</c:v>
                </c:pt>
                <c:pt idx="54">
                  <c:v>601</c:v>
                </c:pt>
                <c:pt idx="55">
                  <c:v>602</c:v>
                </c:pt>
                <c:pt idx="56">
                  <c:v>605</c:v>
                </c:pt>
                <c:pt idx="57">
                  <c:v>607</c:v>
                </c:pt>
                <c:pt idx="60">
                  <c:v>611</c:v>
                </c:pt>
                <c:pt idx="61">
                  <c:v>618</c:v>
                </c:pt>
                <c:pt idx="62">
                  <c:v>621</c:v>
                </c:pt>
                <c:pt idx="63">
                  <c:v>613</c:v>
                </c:pt>
                <c:pt idx="64">
                  <c:v>624</c:v>
                </c:pt>
                <c:pt idx="67">
                  <c:v>619</c:v>
                </c:pt>
                <c:pt idx="68">
                  <c:v>622</c:v>
                </c:pt>
                <c:pt idx="69">
                  <c:v>624</c:v>
                </c:pt>
                <c:pt idx="70">
                  <c:v>617</c:v>
                </c:pt>
                <c:pt idx="71">
                  <c:v>626</c:v>
                </c:pt>
                <c:pt idx="74">
                  <c:v>621</c:v>
                </c:pt>
                <c:pt idx="75">
                  <c:v>627</c:v>
                </c:pt>
                <c:pt idx="76">
                  <c:v>608</c:v>
                </c:pt>
                <c:pt idx="77">
                  <c:v>603</c:v>
                </c:pt>
                <c:pt idx="78">
                  <c:v>609</c:v>
                </c:pt>
                <c:pt idx="81">
                  <c:v>611</c:v>
                </c:pt>
                <c:pt idx="82">
                  <c:v>604</c:v>
                </c:pt>
                <c:pt idx="83">
                  <c:v>607</c:v>
                </c:pt>
                <c:pt idx="84">
                  <c:v>607</c:v>
                </c:pt>
                <c:pt idx="85">
                  <c:v>605</c:v>
                </c:pt>
                <c:pt idx="88">
                  <c:v>609</c:v>
                </c:pt>
                <c:pt idx="89">
                  <c:v>606</c:v>
                </c:pt>
                <c:pt idx="90">
                  <c:v>610</c:v>
                </c:pt>
                <c:pt idx="91">
                  <c:v>596</c:v>
                </c:pt>
                <c:pt idx="92">
                  <c:v>596</c:v>
                </c:pt>
                <c:pt idx="95">
                  <c:v>591</c:v>
                </c:pt>
                <c:pt idx="96">
                  <c:v>592</c:v>
                </c:pt>
                <c:pt idx="97">
                  <c:v>587</c:v>
                </c:pt>
                <c:pt idx="98">
                  <c:v>587</c:v>
                </c:pt>
                <c:pt idx="99">
                  <c:v>587</c:v>
                </c:pt>
                <c:pt idx="102">
                  <c:v>581</c:v>
                </c:pt>
                <c:pt idx="103">
                  <c:v>588</c:v>
                </c:pt>
                <c:pt idx="104">
                  <c:v>589</c:v>
                </c:pt>
                <c:pt idx="105">
                  <c:v>586</c:v>
                </c:pt>
                <c:pt idx="106">
                  <c:v>588</c:v>
                </c:pt>
                <c:pt idx="109">
                  <c:v>579</c:v>
                </c:pt>
                <c:pt idx="110">
                  <c:v>586</c:v>
                </c:pt>
                <c:pt idx="111">
                  <c:v>585</c:v>
                </c:pt>
                <c:pt idx="112">
                  <c:v>580</c:v>
                </c:pt>
                <c:pt idx="113">
                  <c:v>584</c:v>
                </c:pt>
                <c:pt idx="116">
                  <c:v>584</c:v>
                </c:pt>
                <c:pt idx="117">
                  <c:v>585</c:v>
                </c:pt>
                <c:pt idx="118">
                  <c:v>598</c:v>
                </c:pt>
                <c:pt idx="119">
                  <c:v>598</c:v>
                </c:pt>
                <c:pt idx="120">
                  <c:v>602</c:v>
                </c:pt>
                <c:pt idx="123">
                  <c:v>602</c:v>
                </c:pt>
                <c:pt idx="124">
                  <c:v>592</c:v>
                </c:pt>
                <c:pt idx="125">
                  <c:v>589</c:v>
                </c:pt>
                <c:pt idx="126">
                  <c:v>585</c:v>
                </c:pt>
                <c:pt idx="127">
                  <c:v>598</c:v>
                </c:pt>
                <c:pt idx="130">
                  <c:v>598</c:v>
                </c:pt>
                <c:pt idx="131">
                  <c:v>599</c:v>
                </c:pt>
                <c:pt idx="132">
                  <c:v>601</c:v>
                </c:pt>
                <c:pt idx="133">
                  <c:v>604</c:v>
                </c:pt>
                <c:pt idx="134">
                  <c:v>598</c:v>
                </c:pt>
                <c:pt idx="137">
                  <c:v>598</c:v>
                </c:pt>
                <c:pt idx="138">
                  <c:v>598</c:v>
                </c:pt>
                <c:pt idx="139">
                  <c:v>587</c:v>
                </c:pt>
                <c:pt idx="140">
                  <c:v>583</c:v>
                </c:pt>
                <c:pt idx="141">
                  <c:v>579</c:v>
                </c:pt>
                <c:pt idx="144">
                  <c:v>574</c:v>
                </c:pt>
                <c:pt idx="145">
                  <c:v>574</c:v>
                </c:pt>
                <c:pt idx="146">
                  <c:v>578</c:v>
                </c:pt>
                <c:pt idx="147">
                  <c:v>584</c:v>
                </c:pt>
                <c:pt idx="148">
                  <c:v>579</c:v>
                </c:pt>
                <c:pt idx="151">
                  <c:v>586</c:v>
                </c:pt>
                <c:pt idx="152">
                  <c:v>585</c:v>
                </c:pt>
                <c:pt idx="153">
                  <c:v>577</c:v>
                </c:pt>
                <c:pt idx="154">
                  <c:v>578</c:v>
                </c:pt>
                <c:pt idx="155">
                  <c:v>578</c:v>
                </c:pt>
                <c:pt idx="158">
                  <c:v>574</c:v>
                </c:pt>
                <c:pt idx="159">
                  <c:v>570</c:v>
                </c:pt>
                <c:pt idx="160">
                  <c:v>569</c:v>
                </c:pt>
                <c:pt idx="161">
                  <c:v>567</c:v>
                </c:pt>
                <c:pt idx="162">
                  <c:v>570</c:v>
                </c:pt>
                <c:pt idx="165">
                  <c:v>569</c:v>
                </c:pt>
                <c:pt idx="166">
                  <c:v>565</c:v>
                </c:pt>
                <c:pt idx="167">
                  <c:v>561</c:v>
                </c:pt>
                <c:pt idx="168">
                  <c:v>561</c:v>
                </c:pt>
                <c:pt idx="169">
                  <c:v>561</c:v>
                </c:pt>
                <c:pt idx="172">
                  <c:v>561</c:v>
                </c:pt>
                <c:pt idx="173">
                  <c:v>569</c:v>
                </c:pt>
                <c:pt idx="174">
                  <c:v>564</c:v>
                </c:pt>
                <c:pt idx="175">
                  <c:v>563</c:v>
                </c:pt>
                <c:pt idx="176">
                  <c:v>562</c:v>
                </c:pt>
                <c:pt idx="179">
                  <c:v>559</c:v>
                </c:pt>
                <c:pt idx="180">
                  <c:v>548</c:v>
                </c:pt>
                <c:pt idx="181">
                  <c:v>553</c:v>
                </c:pt>
                <c:pt idx="182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1-4AD3-A919-FEC70EE265F5}"/>
            </c:ext>
          </c:extLst>
        </c:ser>
        <c:ser>
          <c:idx val="2"/>
          <c:order val="2"/>
          <c:tx>
            <c:strRef>
              <c:f>'Figure 2'!$D$2</c:f>
              <c:strCache>
                <c:ptCount val="1"/>
                <c:pt idx="0">
                  <c:v>United States, Gulf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2'!$D$3:$D$185</c:f>
              <c:numCache>
                <c:formatCode>General</c:formatCode>
                <c:ptCount val="183"/>
                <c:pt idx="0">
                  <c:v>618</c:v>
                </c:pt>
                <c:pt idx="1">
                  <c:v>629</c:v>
                </c:pt>
                <c:pt idx="4">
                  <c:v>629</c:v>
                </c:pt>
                <c:pt idx="5">
                  <c:v>623</c:v>
                </c:pt>
                <c:pt idx="6">
                  <c:v>617</c:v>
                </c:pt>
                <c:pt idx="7">
                  <c:v>592</c:v>
                </c:pt>
                <c:pt idx="8">
                  <c:v>602</c:v>
                </c:pt>
                <c:pt idx="11">
                  <c:v>626</c:v>
                </c:pt>
                <c:pt idx="12">
                  <c:v>619</c:v>
                </c:pt>
                <c:pt idx="13">
                  <c:v>608</c:v>
                </c:pt>
                <c:pt idx="14">
                  <c:v>607</c:v>
                </c:pt>
                <c:pt idx="15">
                  <c:v>604</c:v>
                </c:pt>
                <c:pt idx="18">
                  <c:v>609</c:v>
                </c:pt>
                <c:pt idx="19">
                  <c:v>615</c:v>
                </c:pt>
                <c:pt idx="20">
                  <c:v>609</c:v>
                </c:pt>
                <c:pt idx="21">
                  <c:v>607</c:v>
                </c:pt>
                <c:pt idx="22">
                  <c:v>596</c:v>
                </c:pt>
                <c:pt idx="25">
                  <c:v>591</c:v>
                </c:pt>
                <c:pt idx="26">
                  <c:v>589</c:v>
                </c:pt>
                <c:pt idx="27">
                  <c:v>590</c:v>
                </c:pt>
                <c:pt idx="28">
                  <c:v>590</c:v>
                </c:pt>
                <c:pt idx="29">
                  <c:v>573</c:v>
                </c:pt>
                <c:pt idx="32">
                  <c:v>577</c:v>
                </c:pt>
                <c:pt idx="33">
                  <c:v>580</c:v>
                </c:pt>
                <c:pt idx="34">
                  <c:v>577</c:v>
                </c:pt>
                <c:pt idx="35">
                  <c:v>572</c:v>
                </c:pt>
                <c:pt idx="36">
                  <c:v>578</c:v>
                </c:pt>
                <c:pt idx="39">
                  <c:v>582</c:v>
                </c:pt>
                <c:pt idx="40">
                  <c:v>588</c:v>
                </c:pt>
                <c:pt idx="41">
                  <c:v>597</c:v>
                </c:pt>
                <c:pt idx="42">
                  <c:v>597</c:v>
                </c:pt>
                <c:pt idx="43">
                  <c:v>593</c:v>
                </c:pt>
                <c:pt idx="46">
                  <c:v>597</c:v>
                </c:pt>
                <c:pt idx="47">
                  <c:v>594</c:v>
                </c:pt>
                <c:pt idx="48">
                  <c:v>596</c:v>
                </c:pt>
                <c:pt idx="49">
                  <c:v>607</c:v>
                </c:pt>
                <c:pt idx="50">
                  <c:v>608</c:v>
                </c:pt>
                <c:pt idx="53">
                  <c:v>600</c:v>
                </c:pt>
                <c:pt idx="54">
                  <c:v>603</c:v>
                </c:pt>
                <c:pt idx="55">
                  <c:v>603</c:v>
                </c:pt>
                <c:pt idx="56">
                  <c:v>603</c:v>
                </c:pt>
                <c:pt idx="57">
                  <c:v>607</c:v>
                </c:pt>
                <c:pt idx="60">
                  <c:v>614</c:v>
                </c:pt>
                <c:pt idx="61">
                  <c:v>625</c:v>
                </c:pt>
                <c:pt idx="62">
                  <c:v>630</c:v>
                </c:pt>
                <c:pt idx="63">
                  <c:v>620</c:v>
                </c:pt>
                <c:pt idx="64">
                  <c:v>629</c:v>
                </c:pt>
                <c:pt idx="67">
                  <c:v>625</c:v>
                </c:pt>
                <c:pt idx="68">
                  <c:v>623</c:v>
                </c:pt>
                <c:pt idx="69">
                  <c:v>622</c:v>
                </c:pt>
                <c:pt idx="70">
                  <c:v>611</c:v>
                </c:pt>
                <c:pt idx="71">
                  <c:v>619</c:v>
                </c:pt>
                <c:pt idx="74">
                  <c:v>614</c:v>
                </c:pt>
                <c:pt idx="75">
                  <c:v>614</c:v>
                </c:pt>
                <c:pt idx="76">
                  <c:v>600</c:v>
                </c:pt>
                <c:pt idx="77">
                  <c:v>594</c:v>
                </c:pt>
                <c:pt idx="78">
                  <c:v>598</c:v>
                </c:pt>
                <c:pt idx="81">
                  <c:v>601</c:v>
                </c:pt>
                <c:pt idx="82">
                  <c:v>595</c:v>
                </c:pt>
                <c:pt idx="83">
                  <c:v>597</c:v>
                </c:pt>
                <c:pt idx="84">
                  <c:v>597</c:v>
                </c:pt>
                <c:pt idx="85">
                  <c:v>598</c:v>
                </c:pt>
                <c:pt idx="88">
                  <c:v>602</c:v>
                </c:pt>
                <c:pt idx="89">
                  <c:v>599</c:v>
                </c:pt>
                <c:pt idx="90">
                  <c:v>601</c:v>
                </c:pt>
                <c:pt idx="91">
                  <c:v>579</c:v>
                </c:pt>
                <c:pt idx="92">
                  <c:v>582</c:v>
                </c:pt>
                <c:pt idx="95">
                  <c:v>582</c:v>
                </c:pt>
                <c:pt idx="96">
                  <c:v>588</c:v>
                </c:pt>
                <c:pt idx="97">
                  <c:v>595</c:v>
                </c:pt>
                <c:pt idx="98">
                  <c:v>603</c:v>
                </c:pt>
                <c:pt idx="99">
                  <c:v>601</c:v>
                </c:pt>
                <c:pt idx="102">
                  <c:v>595</c:v>
                </c:pt>
                <c:pt idx="103">
                  <c:v>606</c:v>
                </c:pt>
                <c:pt idx="104">
                  <c:v>609</c:v>
                </c:pt>
                <c:pt idx="105">
                  <c:v>602</c:v>
                </c:pt>
                <c:pt idx="106">
                  <c:v>604</c:v>
                </c:pt>
                <c:pt idx="109">
                  <c:v>597</c:v>
                </c:pt>
                <c:pt idx="110">
                  <c:v>604</c:v>
                </c:pt>
                <c:pt idx="111">
                  <c:v>605</c:v>
                </c:pt>
                <c:pt idx="112">
                  <c:v>600</c:v>
                </c:pt>
                <c:pt idx="113">
                  <c:v>604</c:v>
                </c:pt>
                <c:pt idx="116">
                  <c:v>604</c:v>
                </c:pt>
                <c:pt idx="117">
                  <c:v>605</c:v>
                </c:pt>
                <c:pt idx="118">
                  <c:v>614</c:v>
                </c:pt>
                <c:pt idx="119">
                  <c:v>613</c:v>
                </c:pt>
                <c:pt idx="120">
                  <c:v>617</c:v>
                </c:pt>
                <c:pt idx="123">
                  <c:v>617</c:v>
                </c:pt>
                <c:pt idx="124">
                  <c:v>605</c:v>
                </c:pt>
                <c:pt idx="125">
                  <c:v>600</c:v>
                </c:pt>
                <c:pt idx="126">
                  <c:v>594</c:v>
                </c:pt>
                <c:pt idx="127">
                  <c:v>607</c:v>
                </c:pt>
                <c:pt idx="130">
                  <c:v>606</c:v>
                </c:pt>
                <c:pt idx="131">
                  <c:v>608</c:v>
                </c:pt>
                <c:pt idx="132">
                  <c:v>610</c:v>
                </c:pt>
                <c:pt idx="133">
                  <c:v>615</c:v>
                </c:pt>
                <c:pt idx="134">
                  <c:v>615</c:v>
                </c:pt>
                <c:pt idx="137">
                  <c:v>615</c:v>
                </c:pt>
                <c:pt idx="138">
                  <c:v>619</c:v>
                </c:pt>
                <c:pt idx="139">
                  <c:v>608</c:v>
                </c:pt>
                <c:pt idx="140">
                  <c:v>604</c:v>
                </c:pt>
                <c:pt idx="141">
                  <c:v>601</c:v>
                </c:pt>
                <c:pt idx="144">
                  <c:v>594</c:v>
                </c:pt>
                <c:pt idx="145">
                  <c:v>593</c:v>
                </c:pt>
                <c:pt idx="146">
                  <c:v>599</c:v>
                </c:pt>
                <c:pt idx="147">
                  <c:v>608</c:v>
                </c:pt>
                <c:pt idx="148">
                  <c:v>602</c:v>
                </c:pt>
                <c:pt idx="151">
                  <c:v>612</c:v>
                </c:pt>
                <c:pt idx="152">
                  <c:v>613</c:v>
                </c:pt>
                <c:pt idx="153">
                  <c:v>606</c:v>
                </c:pt>
                <c:pt idx="154">
                  <c:v>612</c:v>
                </c:pt>
                <c:pt idx="155">
                  <c:v>607</c:v>
                </c:pt>
                <c:pt idx="158">
                  <c:v>601</c:v>
                </c:pt>
                <c:pt idx="159">
                  <c:v>598</c:v>
                </c:pt>
                <c:pt idx="160">
                  <c:v>600</c:v>
                </c:pt>
                <c:pt idx="161">
                  <c:v>599</c:v>
                </c:pt>
                <c:pt idx="162">
                  <c:v>608</c:v>
                </c:pt>
                <c:pt idx="165">
                  <c:v>608</c:v>
                </c:pt>
                <c:pt idx="166">
                  <c:v>604</c:v>
                </c:pt>
                <c:pt idx="167">
                  <c:v>599</c:v>
                </c:pt>
                <c:pt idx="168">
                  <c:v>599</c:v>
                </c:pt>
                <c:pt idx="169">
                  <c:v>598</c:v>
                </c:pt>
                <c:pt idx="172">
                  <c:v>598</c:v>
                </c:pt>
                <c:pt idx="173">
                  <c:v>606</c:v>
                </c:pt>
                <c:pt idx="174">
                  <c:v>602</c:v>
                </c:pt>
                <c:pt idx="175">
                  <c:v>600</c:v>
                </c:pt>
                <c:pt idx="176">
                  <c:v>598</c:v>
                </c:pt>
                <c:pt idx="179">
                  <c:v>594</c:v>
                </c:pt>
                <c:pt idx="180">
                  <c:v>584</c:v>
                </c:pt>
                <c:pt idx="181">
                  <c:v>589</c:v>
                </c:pt>
                <c:pt idx="182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1-4AD3-A919-FEC70EE2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86159"/>
        <c:axId val="338893647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6566285831918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days"/>
        <c:majorUnit val="7"/>
        <c:majorTimeUnit val="day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3.9686385355676692E-3"/>
              <c:y val="0.100391127579640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338893647"/>
        <c:scaling>
          <c:orientation val="minMax"/>
          <c:max val="650"/>
          <c:min val="5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 per metric ton</a:t>
                </a:r>
              </a:p>
            </c:rich>
          </c:tx>
          <c:layout>
            <c:manualLayout>
              <c:xMode val="edge"/>
              <c:yMode val="edge"/>
              <c:x val="0.80227555690154118"/>
              <c:y val="9.95167515825227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8886159"/>
        <c:crosses val="max"/>
        <c:crossBetween val="between"/>
        <c:majorUnit val="10"/>
      </c:valAx>
      <c:dateAx>
        <c:axId val="338886159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33889364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650666262870985"/>
          <c:y val="9.7532808398950135E-2"/>
          <c:w val="0.39344303115956658"/>
          <c:h val="0.12548710822911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Argentina's soybean production and distribution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870381586917"/>
          <c:y val="0.18151999382430137"/>
          <c:w val="0.85073928258967624"/>
          <c:h val="0.49212881478050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3'!$B$2:$B$17</c:f>
              <c:numCache>
                <c:formatCode>_(* #,##0_);_(* \(#,##0\);_(* "-"??_);_(@_)</c:formatCode>
                <c:ptCount val="16"/>
                <c:pt idx="0">
                  <c:v>20.885000000000002</c:v>
                </c:pt>
                <c:pt idx="1">
                  <c:v>15.443</c:v>
                </c:pt>
                <c:pt idx="2">
                  <c:v>20.428999999999998</c:v>
                </c:pt>
                <c:pt idx="3">
                  <c:v>20.242000000000001</c:v>
                </c:pt>
                <c:pt idx="4">
                  <c:v>14.337999999999999</c:v>
                </c:pt>
                <c:pt idx="5">
                  <c:v>17.291</c:v>
                </c:pt>
                <c:pt idx="6">
                  <c:v>21.677</c:v>
                </c:pt>
                <c:pt idx="7">
                  <c:v>27.068999999999999</c:v>
                </c:pt>
                <c:pt idx="8">
                  <c:v>27.155999999999999</c:v>
                </c:pt>
                <c:pt idx="9">
                  <c:v>26.995999999999999</c:v>
                </c:pt>
                <c:pt idx="10">
                  <c:v>23.734000000000002</c:v>
                </c:pt>
                <c:pt idx="11">
                  <c:v>28.89</c:v>
                </c:pt>
                <c:pt idx="12">
                  <c:v>26.65</c:v>
                </c:pt>
                <c:pt idx="13">
                  <c:v>25.06</c:v>
                </c:pt>
                <c:pt idx="14">
                  <c:v>23.902999999999999</c:v>
                </c:pt>
                <c:pt idx="15">
                  <c:v>23.902999999999999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1-4A40-9280-264C2381F291}"/>
            </c:ext>
          </c:extLst>
        </c:ser>
        <c:ser>
          <c:idx val="2"/>
          <c:order val="2"/>
          <c:tx>
            <c:strRef>
              <c:f>'Figure 3'!$C$1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3'!$C$2:$C$17</c:f>
              <c:numCache>
                <c:formatCode>_(* #,##0_);_(* \(#,##0\);_(* "-"??_);_(@_)</c:formatCode>
                <c:ptCount val="16"/>
                <c:pt idx="0">
                  <c:v>32</c:v>
                </c:pt>
                <c:pt idx="1">
                  <c:v>54.5</c:v>
                </c:pt>
                <c:pt idx="2">
                  <c:v>49</c:v>
                </c:pt>
                <c:pt idx="3">
                  <c:v>40.1</c:v>
                </c:pt>
                <c:pt idx="4">
                  <c:v>49.3</c:v>
                </c:pt>
                <c:pt idx="5">
                  <c:v>53.4</c:v>
                </c:pt>
                <c:pt idx="6">
                  <c:v>61.45</c:v>
                </c:pt>
                <c:pt idx="7">
                  <c:v>58.8</c:v>
                </c:pt>
                <c:pt idx="8">
                  <c:v>55</c:v>
                </c:pt>
                <c:pt idx="9">
                  <c:v>37.799999999999997</c:v>
                </c:pt>
                <c:pt idx="10">
                  <c:v>55.3</c:v>
                </c:pt>
                <c:pt idx="11">
                  <c:v>48.8</c:v>
                </c:pt>
                <c:pt idx="12">
                  <c:v>46.2</c:v>
                </c:pt>
                <c:pt idx="13">
                  <c:v>43.9</c:v>
                </c:pt>
                <c:pt idx="14">
                  <c:v>41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1-4A40-9280-264C2381F291}"/>
            </c:ext>
          </c:extLst>
        </c:ser>
        <c:ser>
          <c:idx val="1"/>
          <c:order val="3"/>
          <c:tx>
            <c:strRef>
              <c:f>'Figure 3'!$D$1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3'!$D$2:$D$17</c:f>
              <c:numCache>
                <c:formatCode>_(* #,##0_);_(* \(#,##0\);_(* "-"??_);_(@_)</c:formatCode>
                <c:ptCount val="16"/>
                <c:pt idx="0">
                  <c:v>1.2410000000000001</c:v>
                </c:pt>
                <c:pt idx="1">
                  <c:v>1E-3</c:v>
                </c:pt>
                <c:pt idx="2">
                  <c:v>1.2999999999999999E-2</c:v>
                </c:pt>
                <c:pt idx="3">
                  <c:v>0</c:v>
                </c:pt>
                <c:pt idx="4">
                  <c:v>2E-3</c:v>
                </c:pt>
                <c:pt idx="5">
                  <c:v>1E-3</c:v>
                </c:pt>
                <c:pt idx="6">
                  <c:v>2E-3</c:v>
                </c:pt>
                <c:pt idx="7">
                  <c:v>0.67600000000000005</c:v>
                </c:pt>
                <c:pt idx="8">
                  <c:v>1.6739999999999999</c:v>
                </c:pt>
                <c:pt idx="9">
                  <c:v>4.7030000000000003</c:v>
                </c:pt>
                <c:pt idx="10">
                  <c:v>6.4080000000000004</c:v>
                </c:pt>
                <c:pt idx="11">
                  <c:v>4.8819999999999997</c:v>
                </c:pt>
                <c:pt idx="12">
                  <c:v>4.8159999999999998</c:v>
                </c:pt>
                <c:pt idx="13">
                  <c:v>3.839</c:v>
                </c:pt>
                <c:pt idx="14">
                  <c:v>6.25</c:v>
                </c:pt>
                <c:pt idx="15">
                  <c:v>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1-4A40-9280-264C2381F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3'!$E$1</c:f>
              <c:strCache>
                <c:ptCount val="1"/>
                <c:pt idx="0">
                  <c:v>Total domestic consumption</c:v>
                </c:pt>
              </c:strCache>
            </c:strRef>
          </c:tx>
          <c:spPr>
            <a:ln w="57150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3'!$E$2:$E$17</c:f>
              <c:numCache>
                <c:formatCode>_(* #,##0_);_(* \(#,##0\);_(* "-"??_);_(@_)</c:formatCode>
                <c:ptCount val="16"/>
                <c:pt idx="0">
                  <c:v>33.093000000000004</c:v>
                </c:pt>
                <c:pt idx="1">
                  <c:v>36.427</c:v>
                </c:pt>
                <c:pt idx="2">
                  <c:v>39.994</c:v>
                </c:pt>
                <c:pt idx="3">
                  <c:v>38.636000000000003</c:v>
                </c:pt>
                <c:pt idx="4">
                  <c:v>38.610999999999997</c:v>
                </c:pt>
                <c:pt idx="5">
                  <c:v>41.173000000000002</c:v>
                </c:pt>
                <c:pt idx="6">
                  <c:v>45.484999999999999</c:v>
                </c:pt>
                <c:pt idx="7">
                  <c:v>49.466999999999999</c:v>
                </c:pt>
                <c:pt idx="8">
                  <c:v>49.808999999999997</c:v>
                </c:pt>
                <c:pt idx="9">
                  <c:v>43.633000000000003</c:v>
                </c:pt>
                <c:pt idx="10">
                  <c:v>47.448</c:v>
                </c:pt>
                <c:pt idx="11">
                  <c:v>45.917999999999999</c:v>
                </c:pt>
                <c:pt idx="12">
                  <c:v>47.411000000000001</c:v>
                </c:pt>
                <c:pt idx="13">
                  <c:v>46.034999999999997</c:v>
                </c:pt>
                <c:pt idx="14">
                  <c:v>44.55</c:v>
                </c:pt>
                <c:pt idx="15">
                  <c:v>40.950000000000003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1-4A40-9280-264C2381F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79976094899902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375025237229961E-2"/>
              <c:y val="0.12360763728063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242496130291406"/>
          <c:y val="0.11126447429365448"/>
          <c:w val="0.84225334813917496"/>
          <c:h val="8.8677113890175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Australia's rapeseed production and distribution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9851941584225"/>
          <c:y val="0.20566675828765757"/>
          <c:w val="0.8445627229288647"/>
          <c:h val="0.47036249575579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4'!$B$2:$B$13</c:f>
              <c:numCache>
                <c:formatCode>_(* #,##0.0_);_(* \(#,##0.0\);_(* "-"??_);_(@_)</c:formatCode>
                <c:ptCount val="12"/>
                <c:pt idx="0">
                  <c:v>4.1420000000000003</c:v>
                </c:pt>
                <c:pt idx="1">
                  <c:v>3.8319999999999999</c:v>
                </c:pt>
                <c:pt idx="2">
                  <c:v>3.54</c:v>
                </c:pt>
                <c:pt idx="3">
                  <c:v>2.7749999999999999</c:v>
                </c:pt>
                <c:pt idx="4">
                  <c:v>4.3129999999999997</c:v>
                </c:pt>
                <c:pt idx="5">
                  <c:v>3.8929999999999998</c:v>
                </c:pt>
                <c:pt idx="6">
                  <c:v>2.3660000000000001</c:v>
                </c:pt>
                <c:pt idx="7">
                  <c:v>2.2989999999999999</c:v>
                </c:pt>
                <c:pt idx="8">
                  <c:v>4.7560000000000002</c:v>
                </c:pt>
                <c:pt idx="9">
                  <c:v>6.82</c:v>
                </c:pt>
                <c:pt idx="10">
                  <c:v>7.3</c:v>
                </c:pt>
                <c:pt idx="11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2-4123-AD72-E087161F4A08}"/>
            </c:ext>
          </c:extLst>
        </c:ser>
        <c:ser>
          <c:idx val="2"/>
          <c:order val="2"/>
          <c:tx>
            <c:strRef>
              <c:f>'Figure 4'!$C$1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4'!$C$2:$C$13</c:f>
              <c:numCache>
                <c:formatCode>_(* #,##0.0_);_(* \(#,##0.0\);_(* "-"??_);_(@_)</c:formatCode>
                <c:ptCount val="12"/>
                <c:pt idx="0">
                  <c:v>3.7210000000000001</c:v>
                </c:pt>
                <c:pt idx="1">
                  <c:v>2.7370000000000001</c:v>
                </c:pt>
                <c:pt idx="2">
                  <c:v>2.8079999999999998</c:v>
                </c:pt>
                <c:pt idx="3">
                  <c:v>2.0019999999999998</c:v>
                </c:pt>
                <c:pt idx="4">
                  <c:v>3.1040000000000001</c:v>
                </c:pt>
                <c:pt idx="5">
                  <c:v>2.4289999999999998</c:v>
                </c:pt>
                <c:pt idx="6">
                  <c:v>1.532</c:v>
                </c:pt>
                <c:pt idx="7">
                  <c:v>1.663</c:v>
                </c:pt>
                <c:pt idx="8">
                  <c:v>3.746</c:v>
                </c:pt>
                <c:pt idx="9">
                  <c:v>5.8410000000000002</c:v>
                </c:pt>
                <c:pt idx="10">
                  <c:v>5.7</c:v>
                </c:pt>
                <c:pt idx="11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2-4123-AD72-E087161F4A08}"/>
            </c:ext>
          </c:extLst>
        </c:ser>
        <c:ser>
          <c:idx val="1"/>
          <c:order val="3"/>
          <c:tx>
            <c:strRef>
              <c:f>'Figure 4'!$D$1</c:f>
              <c:strCache>
                <c:ptCount val="1"/>
                <c:pt idx="0">
                  <c:v>Total domestic consumption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4'!$D$2:$D$13</c:f>
              <c:numCache>
                <c:formatCode>_(* #,##0.0_);_(* \(#,##0.0\);_(* "-"??_);_(@_)</c:formatCode>
                <c:ptCount val="12"/>
                <c:pt idx="0">
                  <c:v>0.75</c:v>
                </c:pt>
                <c:pt idx="1">
                  <c:v>0.83</c:v>
                </c:pt>
                <c:pt idx="2">
                  <c:v>0.83</c:v>
                </c:pt>
                <c:pt idx="3">
                  <c:v>0.85099999999999998</c:v>
                </c:pt>
                <c:pt idx="4">
                  <c:v>0.92</c:v>
                </c:pt>
                <c:pt idx="5">
                  <c:v>1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1.25</c:v>
                </c:pt>
                <c:pt idx="11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2-4123-AD72-E087161F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4'!$E$1</c:f>
              <c:strCache>
                <c:ptCount val="1"/>
                <c:pt idx="0">
                  <c:v>Ending stocks</c:v>
                </c:pt>
              </c:strCache>
            </c:strRef>
          </c:tx>
          <c:spPr>
            <a:ln w="57150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4'!$E$2:$E$13</c:f>
              <c:numCache>
                <c:formatCode>_(* #,##0.0_);_(* \(#,##0.0\);_(* "-"??_);_(@_)</c:formatCode>
                <c:ptCount val="12"/>
                <c:pt idx="0">
                  <c:v>0.24399999999999999</c:v>
                </c:pt>
                <c:pt idx="1">
                  <c:v>0.51</c:v>
                </c:pt>
                <c:pt idx="2">
                  <c:v>0.41299999999999998</c:v>
                </c:pt>
                <c:pt idx="3">
                  <c:v>0.33600000000000002</c:v>
                </c:pt>
                <c:pt idx="4">
                  <c:v>0.626</c:v>
                </c:pt>
                <c:pt idx="5">
                  <c:v>1.091</c:v>
                </c:pt>
                <c:pt idx="6">
                  <c:v>0.92600000000000005</c:v>
                </c:pt>
                <c:pt idx="7">
                  <c:v>0.46300000000000002</c:v>
                </c:pt>
                <c:pt idx="8">
                  <c:v>0.374</c:v>
                </c:pt>
                <c:pt idx="9">
                  <c:v>0.255</c:v>
                </c:pt>
                <c:pt idx="10">
                  <c:v>0.65800000000000003</c:v>
                </c:pt>
                <c:pt idx="11">
                  <c:v>0.95599999999999996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92-4123-AD72-E087161F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110993337371292"/>
              <c:y val="0.80515448915908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5031294165152432E-2"/>
              <c:y val="0.12463095603809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113937680866815"/>
          <c:y val="0.12524293036265743"/>
          <c:w val="0.85503634161114472"/>
          <c:h val="0.120091944359111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154304</xdr:colOff>
      <xdr:row>0</xdr:row>
      <xdr:rowOff>45720</xdr:rowOff>
    </xdr:from>
    <xdr:to>
      <xdr:col>15</xdr:col>
      <xdr:colOff>306704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1B2F6-4BDF-48CE-83C3-2964329A0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0.86091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735580"/>
          <a:ext cx="640080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20953</xdr:colOff>
      <xdr:row>2</xdr:row>
      <xdr:rowOff>160020</xdr:rowOff>
    </xdr:from>
    <xdr:to>
      <xdr:col>15</xdr:col>
      <xdr:colOff>478153</xdr:colOff>
      <xdr:row>26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F17E82-F2C5-4E2A-A5CC-096856E3B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</cdr:y>
    </cdr:from>
    <cdr:to>
      <cdr:x>1</cdr:x>
      <cdr:y>0.99396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97579"/>
          <a:ext cx="5943600" cy="365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Agricultural Marketing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Grain Inspected for Export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and International Grains Council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401953</xdr:colOff>
      <xdr:row>0</xdr:row>
      <xdr:rowOff>22860</xdr:rowOff>
    </xdr:from>
    <xdr:to>
      <xdr:col>15</xdr:col>
      <xdr:colOff>97153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B84C8-A27A-45A8-ABF7-76B9B8F09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0.86078</cdr:y>
    </cdr:from>
    <cdr:to>
      <cdr:x>1</cdr:x>
      <cdr:y>0.9902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45180"/>
          <a:ext cx="5943600" cy="502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USDA, Economic Research Service using data from USDA,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Foreign Agricultural Service,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Production, Supply, and Distribution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 database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</xdr:colOff>
      <xdr:row>0</xdr:row>
      <xdr:rowOff>0</xdr:rowOff>
    </xdr:from>
    <xdr:to>
      <xdr:col>15</xdr:col>
      <xdr:colOff>340994</xdr:colOff>
      <xdr:row>20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30850-A069-4AC0-BAFF-FCADBE252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0.87064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30880"/>
          <a:ext cx="594360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>
      <selection activeCell="A18" sqref="A18"/>
    </sheetView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15"/>
      <c r="C1" s="11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15"/>
    </row>
    <row r="5" spans="1:3">
      <c r="A5" s="10" t="s">
        <v>3</v>
      </c>
      <c r="B5" s="4"/>
      <c r="C5" s="115"/>
    </row>
    <row r="6" spans="1:3">
      <c r="A6" s="10" t="s">
        <v>4</v>
      </c>
      <c r="B6" s="4"/>
      <c r="C6" s="115"/>
    </row>
    <row r="7" spans="1:3">
      <c r="A7" s="10" t="s">
        <v>5</v>
      </c>
      <c r="B7" s="4"/>
      <c r="C7" s="115"/>
    </row>
    <row r="8" spans="1:3">
      <c r="A8" s="10" t="s">
        <v>6</v>
      </c>
      <c r="B8" s="4"/>
      <c r="C8" s="115"/>
    </row>
    <row r="9" spans="1:3">
      <c r="A9" s="10" t="s">
        <v>7</v>
      </c>
      <c r="B9" s="4"/>
      <c r="C9" s="115"/>
    </row>
    <row r="10" spans="1:3">
      <c r="A10" s="10" t="s">
        <v>8</v>
      </c>
      <c r="B10" s="4"/>
      <c r="C10" s="115"/>
    </row>
    <row r="11" spans="1:3">
      <c r="A11" s="10" t="s">
        <v>9</v>
      </c>
      <c r="B11" s="4"/>
      <c r="C11" s="115"/>
    </row>
    <row r="12" spans="1:3">
      <c r="A12" s="10" t="s">
        <v>10</v>
      </c>
      <c r="B12" s="4"/>
      <c r="C12" s="115"/>
    </row>
    <row r="13" spans="1:3">
      <c r="A13" s="11" t="s">
        <v>11</v>
      </c>
      <c r="B13" s="4"/>
      <c r="C13" s="115"/>
    </row>
    <row r="14" spans="1:3" ht="13.2">
      <c r="A14" s="115"/>
      <c r="B14" s="115"/>
      <c r="C14" s="115"/>
    </row>
    <row r="15" spans="1:3">
      <c r="A15" s="7" t="s">
        <v>12</v>
      </c>
      <c r="B15" s="116"/>
      <c r="C15" s="115"/>
    </row>
    <row r="16" spans="1:3">
      <c r="A16" s="9">
        <v>44995</v>
      </c>
      <c r="B16" s="115"/>
      <c r="C16" s="11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B8F9-1891-487C-99E9-23293D9BB987}">
  <dimension ref="A1:E18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ColWidth="9.109375" defaultRowHeight="13.2"/>
  <cols>
    <col min="1" max="1" width="14.33203125" style="126" customWidth="1"/>
    <col min="2" max="2" width="11.109375" style="126" customWidth="1"/>
    <col min="3" max="3" width="11" style="126" bestFit="1" customWidth="1"/>
    <col min="4" max="4" width="7.5546875" style="126" customWidth="1"/>
    <col min="5" max="5" width="13.88671875" bestFit="1" customWidth="1"/>
    <col min="6" max="16384" width="9.109375" style="126"/>
  </cols>
  <sheetData>
    <row r="1" spans="1:5">
      <c r="B1" s="153" t="s">
        <v>163</v>
      </c>
      <c r="C1" s="154"/>
      <c r="D1" s="154"/>
    </row>
    <row r="2" spans="1:5" ht="52.8">
      <c r="A2" s="155" t="s">
        <v>164</v>
      </c>
      <c r="B2" s="156" t="s">
        <v>165</v>
      </c>
      <c r="C2" s="156" t="s">
        <v>166</v>
      </c>
      <c r="D2" s="156" t="s">
        <v>167</v>
      </c>
      <c r="E2" s="156" t="s">
        <v>168</v>
      </c>
    </row>
    <row r="3" spans="1:5">
      <c r="A3" s="157">
        <v>44805</v>
      </c>
      <c r="B3">
        <v>597</v>
      </c>
      <c r="C3">
        <v>610</v>
      </c>
      <c r="D3">
        <v>618</v>
      </c>
      <c r="E3">
        <v>52.298999999999999</v>
      </c>
    </row>
    <row r="4" spans="1:5">
      <c r="A4" s="157">
        <v>44806</v>
      </c>
      <c r="B4">
        <v>597</v>
      </c>
      <c r="C4">
        <v>617</v>
      </c>
      <c r="D4">
        <v>629</v>
      </c>
      <c r="E4">
        <v>92.058999999999997</v>
      </c>
    </row>
    <row r="5" spans="1:5">
      <c r="A5" s="157">
        <v>44807</v>
      </c>
      <c r="E5">
        <v>64.754999999999995</v>
      </c>
    </row>
    <row r="6" spans="1:5">
      <c r="A6" s="157">
        <v>44808</v>
      </c>
      <c r="E6">
        <v>71.399000000000001</v>
      </c>
    </row>
    <row r="7" spans="1:5">
      <c r="A7" s="157">
        <v>44809</v>
      </c>
      <c r="B7">
        <v>605</v>
      </c>
      <c r="C7">
        <v>621</v>
      </c>
      <c r="D7">
        <v>629</v>
      </c>
      <c r="E7">
        <v>70.757000000000005</v>
      </c>
    </row>
    <row r="8" spans="1:5">
      <c r="A8" s="157">
        <v>44810</v>
      </c>
      <c r="B8">
        <v>592</v>
      </c>
      <c r="C8">
        <v>617</v>
      </c>
      <c r="D8">
        <v>623</v>
      </c>
      <c r="E8">
        <v>18.986999999999998</v>
      </c>
    </row>
    <row r="9" spans="1:5">
      <c r="A9" s="157">
        <v>44811</v>
      </c>
      <c r="B9">
        <v>583</v>
      </c>
      <c r="C9">
        <v>611</v>
      </c>
      <c r="D9">
        <v>617</v>
      </c>
      <c r="E9">
        <v>15.448</v>
      </c>
    </row>
    <row r="10" spans="1:5">
      <c r="A10" s="157">
        <v>44812</v>
      </c>
      <c r="B10">
        <v>577</v>
      </c>
      <c r="C10">
        <v>607</v>
      </c>
      <c r="D10">
        <v>592</v>
      </c>
      <c r="E10">
        <v>8.3079999999999998</v>
      </c>
    </row>
    <row r="11" spans="1:5">
      <c r="A11" s="157">
        <v>44813</v>
      </c>
      <c r="B11">
        <v>582</v>
      </c>
      <c r="C11">
        <v>613</v>
      </c>
      <c r="D11">
        <v>602</v>
      </c>
      <c r="E11">
        <v>29.859000000000002</v>
      </c>
    </row>
    <row r="12" spans="1:5">
      <c r="A12" s="157">
        <v>44814</v>
      </c>
      <c r="E12">
        <v>72.188999999999993</v>
      </c>
    </row>
    <row r="13" spans="1:5">
      <c r="A13" s="157">
        <v>44815</v>
      </c>
      <c r="E13">
        <v>113.032</v>
      </c>
    </row>
    <row r="14" spans="1:5">
      <c r="A14" s="157">
        <v>44816</v>
      </c>
      <c r="B14">
        <v>607</v>
      </c>
      <c r="C14">
        <v>637</v>
      </c>
      <c r="D14">
        <v>626</v>
      </c>
      <c r="E14">
        <v>59.530999999999999</v>
      </c>
    </row>
    <row r="15" spans="1:5">
      <c r="A15" s="157">
        <v>44817</v>
      </c>
      <c r="B15">
        <v>594</v>
      </c>
      <c r="C15">
        <v>622</v>
      </c>
      <c r="D15">
        <v>619</v>
      </c>
      <c r="E15">
        <v>50.366</v>
      </c>
    </row>
    <row r="16" spans="1:5">
      <c r="A16" s="157">
        <v>44818</v>
      </c>
      <c r="B16">
        <v>585</v>
      </c>
      <c r="C16">
        <v>608</v>
      </c>
      <c r="D16">
        <v>608</v>
      </c>
      <c r="E16">
        <v>55.600999999999999</v>
      </c>
    </row>
    <row r="17" spans="1:5">
      <c r="A17" s="157">
        <v>44819</v>
      </c>
      <c r="B17">
        <v>579</v>
      </c>
      <c r="C17">
        <v>607</v>
      </c>
      <c r="D17">
        <v>607</v>
      </c>
      <c r="E17">
        <v>140.49</v>
      </c>
    </row>
    <row r="18" spans="1:5">
      <c r="A18" s="157">
        <v>44820</v>
      </c>
      <c r="B18">
        <v>578</v>
      </c>
      <c r="C18">
        <v>606</v>
      </c>
      <c r="D18">
        <v>604</v>
      </c>
      <c r="E18">
        <v>42.749000000000002</v>
      </c>
    </row>
    <row r="19" spans="1:5">
      <c r="A19" s="157">
        <v>44821</v>
      </c>
      <c r="E19">
        <v>8.8670000000000009</v>
      </c>
    </row>
    <row r="20" spans="1:5">
      <c r="A20" s="157">
        <v>44822</v>
      </c>
      <c r="E20">
        <v>86.998999999999995</v>
      </c>
    </row>
    <row r="21" spans="1:5">
      <c r="A21" s="157">
        <v>44823</v>
      </c>
      <c r="B21">
        <v>583</v>
      </c>
      <c r="C21">
        <v>612</v>
      </c>
      <c r="D21">
        <v>609</v>
      </c>
      <c r="E21">
        <v>64.328000000000003</v>
      </c>
    </row>
    <row r="22" spans="1:5">
      <c r="A22" s="157">
        <v>44824</v>
      </c>
      <c r="B22">
        <v>589</v>
      </c>
      <c r="C22">
        <v>619</v>
      </c>
      <c r="D22">
        <v>615</v>
      </c>
      <c r="E22">
        <v>50.732999999999997</v>
      </c>
    </row>
    <row r="23" spans="1:5">
      <c r="A23" s="157">
        <v>44825</v>
      </c>
      <c r="B23">
        <v>584</v>
      </c>
      <c r="C23">
        <v>610</v>
      </c>
      <c r="D23">
        <v>609</v>
      </c>
      <c r="E23">
        <v>2.84</v>
      </c>
    </row>
    <row r="24" spans="1:5">
      <c r="A24" s="157">
        <v>44826</v>
      </c>
      <c r="B24">
        <v>581</v>
      </c>
      <c r="C24">
        <v>611</v>
      </c>
      <c r="D24">
        <v>607</v>
      </c>
      <c r="E24">
        <v>34.994</v>
      </c>
    </row>
    <row r="25" spans="1:5">
      <c r="A25" s="157">
        <v>44827</v>
      </c>
      <c r="B25">
        <v>570</v>
      </c>
      <c r="C25">
        <v>601</v>
      </c>
      <c r="D25">
        <v>596</v>
      </c>
      <c r="E25">
        <v>75.721999999999994</v>
      </c>
    </row>
    <row r="26" spans="1:5">
      <c r="A26" s="157">
        <v>44828</v>
      </c>
      <c r="E26">
        <v>35.192999999999998</v>
      </c>
    </row>
    <row r="27" spans="1:5">
      <c r="A27" s="157">
        <v>44829</v>
      </c>
      <c r="E27">
        <v>54.973999999999997</v>
      </c>
    </row>
    <row r="28" spans="1:5">
      <c r="A28" s="157">
        <v>44830</v>
      </c>
      <c r="B28">
        <v>565</v>
      </c>
      <c r="C28">
        <v>595</v>
      </c>
      <c r="D28">
        <v>591</v>
      </c>
      <c r="E28">
        <v>120.572</v>
      </c>
    </row>
    <row r="29" spans="1:5">
      <c r="A29" s="157">
        <v>44831</v>
      </c>
      <c r="B29">
        <v>565</v>
      </c>
      <c r="C29">
        <v>591</v>
      </c>
      <c r="D29">
        <v>589</v>
      </c>
      <c r="E29">
        <v>67.254000000000005</v>
      </c>
    </row>
    <row r="30" spans="1:5">
      <c r="A30" s="157">
        <v>44832</v>
      </c>
      <c r="B30">
        <v>565</v>
      </c>
      <c r="C30">
        <v>591</v>
      </c>
      <c r="D30">
        <v>590</v>
      </c>
      <c r="E30">
        <v>138.69900000000001</v>
      </c>
    </row>
    <row r="31" spans="1:5">
      <c r="A31" s="157">
        <v>44833</v>
      </c>
      <c r="B31">
        <v>566</v>
      </c>
      <c r="C31">
        <v>593</v>
      </c>
      <c r="D31">
        <v>590</v>
      </c>
      <c r="E31">
        <v>117.282</v>
      </c>
    </row>
    <row r="32" spans="1:5">
      <c r="A32" s="157">
        <v>44834</v>
      </c>
      <c r="B32">
        <v>562</v>
      </c>
      <c r="C32">
        <v>576</v>
      </c>
      <c r="D32">
        <v>573</v>
      </c>
      <c r="E32">
        <v>108.14</v>
      </c>
    </row>
    <row r="33" spans="1:5">
      <c r="A33" s="157">
        <v>44835</v>
      </c>
      <c r="E33">
        <v>93.134</v>
      </c>
    </row>
    <row r="34" spans="1:5">
      <c r="A34" s="157">
        <v>44836</v>
      </c>
      <c r="E34">
        <v>68.099999999999994</v>
      </c>
    </row>
    <row r="35" spans="1:5">
      <c r="A35" s="157">
        <v>44837</v>
      </c>
      <c r="B35">
        <v>565</v>
      </c>
      <c r="C35">
        <v>582</v>
      </c>
      <c r="D35">
        <v>577</v>
      </c>
      <c r="E35">
        <v>77.328000000000003</v>
      </c>
    </row>
    <row r="36" spans="1:5">
      <c r="A36" s="157">
        <v>44838</v>
      </c>
      <c r="B36">
        <v>574</v>
      </c>
      <c r="C36">
        <v>587</v>
      </c>
      <c r="D36">
        <v>580</v>
      </c>
      <c r="E36">
        <v>182.81</v>
      </c>
    </row>
    <row r="37" spans="1:5">
      <c r="A37" s="157">
        <v>44839</v>
      </c>
      <c r="B37">
        <v>569</v>
      </c>
      <c r="C37">
        <v>583</v>
      </c>
      <c r="D37">
        <v>577</v>
      </c>
      <c r="E37">
        <v>139.00299999999999</v>
      </c>
    </row>
    <row r="38" spans="1:5">
      <c r="A38" s="157">
        <v>44840</v>
      </c>
      <c r="B38">
        <v>565</v>
      </c>
      <c r="C38">
        <v>582</v>
      </c>
      <c r="D38">
        <v>572</v>
      </c>
      <c r="E38">
        <v>308.26400000000001</v>
      </c>
    </row>
    <row r="39" spans="1:5">
      <c r="A39" s="157">
        <v>44841</v>
      </c>
      <c r="B39">
        <v>565</v>
      </c>
      <c r="C39">
        <v>598</v>
      </c>
      <c r="D39">
        <v>578</v>
      </c>
      <c r="E39">
        <v>317.709</v>
      </c>
    </row>
    <row r="40" spans="1:5">
      <c r="A40" s="157">
        <v>44842</v>
      </c>
      <c r="E40">
        <v>325.72000000000003</v>
      </c>
    </row>
    <row r="41" spans="1:5">
      <c r="A41" s="157">
        <v>44843</v>
      </c>
      <c r="E41">
        <v>113.901</v>
      </c>
    </row>
    <row r="42" spans="1:5">
      <c r="A42" s="157">
        <v>44844</v>
      </c>
      <c r="B42">
        <v>568</v>
      </c>
      <c r="C42">
        <v>600</v>
      </c>
      <c r="D42">
        <v>582</v>
      </c>
      <c r="E42">
        <v>316.87299999999999</v>
      </c>
    </row>
    <row r="43" spans="1:5">
      <c r="A43" s="157">
        <v>44845</v>
      </c>
      <c r="B43">
        <v>579</v>
      </c>
      <c r="C43">
        <v>601</v>
      </c>
      <c r="D43">
        <v>588</v>
      </c>
      <c r="E43">
        <v>301.64100000000002</v>
      </c>
    </row>
    <row r="44" spans="1:5">
      <c r="A44" s="157">
        <v>44846</v>
      </c>
      <c r="B44">
        <v>592</v>
      </c>
      <c r="C44">
        <v>607</v>
      </c>
      <c r="D44">
        <v>597</v>
      </c>
      <c r="E44">
        <v>228.92099999999999</v>
      </c>
    </row>
    <row r="45" spans="1:5">
      <c r="A45" s="157">
        <v>44847</v>
      </c>
      <c r="B45">
        <v>592</v>
      </c>
      <c r="C45">
        <v>608</v>
      </c>
      <c r="D45">
        <v>597</v>
      </c>
      <c r="E45">
        <v>322.13</v>
      </c>
    </row>
    <row r="46" spans="1:5">
      <c r="A46" s="157">
        <v>44848</v>
      </c>
      <c r="B46">
        <v>589</v>
      </c>
      <c r="C46">
        <v>604</v>
      </c>
      <c r="D46">
        <v>593</v>
      </c>
      <c r="E46">
        <v>599.08500000000004</v>
      </c>
    </row>
    <row r="47" spans="1:5">
      <c r="A47" s="157">
        <v>44849</v>
      </c>
      <c r="E47">
        <v>365.93099999999998</v>
      </c>
    </row>
    <row r="48" spans="1:5">
      <c r="A48" s="157">
        <v>44850</v>
      </c>
      <c r="E48">
        <v>475.96</v>
      </c>
    </row>
    <row r="49" spans="1:5">
      <c r="A49" s="157">
        <v>44851</v>
      </c>
      <c r="B49">
        <v>590</v>
      </c>
      <c r="C49">
        <v>608</v>
      </c>
      <c r="D49">
        <v>597</v>
      </c>
      <c r="E49">
        <v>259.08</v>
      </c>
    </row>
    <row r="50" spans="1:5">
      <c r="A50" s="157">
        <v>44852</v>
      </c>
      <c r="B50">
        <v>585</v>
      </c>
      <c r="C50">
        <v>603</v>
      </c>
      <c r="D50">
        <v>594</v>
      </c>
      <c r="E50">
        <v>549.822</v>
      </c>
    </row>
    <row r="51" spans="1:5">
      <c r="A51" s="157">
        <v>44853</v>
      </c>
      <c r="B51">
        <v>590</v>
      </c>
      <c r="C51">
        <v>600</v>
      </c>
      <c r="D51">
        <v>596</v>
      </c>
      <c r="E51">
        <v>312.29000000000002</v>
      </c>
    </row>
    <row r="52" spans="1:5">
      <c r="A52" s="157">
        <v>44854</v>
      </c>
      <c r="B52">
        <v>598</v>
      </c>
      <c r="C52">
        <v>601</v>
      </c>
      <c r="D52">
        <v>607</v>
      </c>
      <c r="E52">
        <v>358.25</v>
      </c>
    </row>
    <row r="53" spans="1:5">
      <c r="A53" s="157">
        <v>44855</v>
      </c>
      <c r="B53">
        <v>599</v>
      </c>
      <c r="C53">
        <v>605</v>
      </c>
      <c r="D53">
        <v>608</v>
      </c>
      <c r="E53">
        <v>299.61599999999999</v>
      </c>
    </row>
    <row r="54" spans="1:5">
      <c r="A54" s="157">
        <v>44856</v>
      </c>
      <c r="E54">
        <v>420.56200000000001</v>
      </c>
    </row>
    <row r="55" spans="1:5">
      <c r="A55" s="157">
        <v>44857</v>
      </c>
      <c r="E55">
        <v>452.35700000000003</v>
      </c>
    </row>
    <row r="56" spans="1:5">
      <c r="A56" s="157">
        <v>44858</v>
      </c>
      <c r="B56">
        <v>590</v>
      </c>
      <c r="C56">
        <v>596</v>
      </c>
      <c r="D56">
        <v>600</v>
      </c>
      <c r="E56">
        <v>306.399</v>
      </c>
    </row>
    <row r="57" spans="1:5">
      <c r="A57" s="157">
        <v>44859</v>
      </c>
      <c r="B57">
        <v>594</v>
      </c>
      <c r="C57">
        <v>601</v>
      </c>
      <c r="D57">
        <v>603</v>
      </c>
      <c r="E57">
        <v>395.00799999999998</v>
      </c>
    </row>
    <row r="58" spans="1:5">
      <c r="A58" s="157">
        <v>44860</v>
      </c>
      <c r="B58">
        <v>594</v>
      </c>
      <c r="C58">
        <v>602</v>
      </c>
      <c r="D58">
        <v>603</v>
      </c>
      <c r="E58">
        <v>309.01100000000002</v>
      </c>
    </row>
    <row r="59" spans="1:5">
      <c r="A59" s="157">
        <v>44861</v>
      </c>
      <c r="B59">
        <v>590</v>
      </c>
      <c r="C59">
        <v>605</v>
      </c>
      <c r="D59">
        <v>603</v>
      </c>
      <c r="E59">
        <v>403.27499999999998</v>
      </c>
    </row>
    <row r="60" spans="1:5">
      <c r="A60" s="157">
        <v>44862</v>
      </c>
      <c r="B60">
        <v>594</v>
      </c>
      <c r="C60">
        <v>607</v>
      </c>
      <c r="D60">
        <v>607</v>
      </c>
      <c r="E60">
        <v>291.81400000000002</v>
      </c>
    </row>
    <row r="61" spans="1:5">
      <c r="A61" s="157">
        <v>44863</v>
      </c>
      <c r="E61">
        <v>374.77699999999999</v>
      </c>
    </row>
    <row r="62" spans="1:5">
      <c r="A62" s="157">
        <v>44864</v>
      </c>
      <c r="E62">
        <v>387.05799999999999</v>
      </c>
    </row>
    <row r="63" spans="1:5">
      <c r="A63" s="157">
        <v>44865</v>
      </c>
      <c r="B63">
        <v>603</v>
      </c>
      <c r="C63">
        <v>611</v>
      </c>
      <c r="D63">
        <v>614</v>
      </c>
      <c r="E63">
        <v>440.64</v>
      </c>
    </row>
    <row r="64" spans="1:5">
      <c r="A64" s="157">
        <v>44866</v>
      </c>
      <c r="B64">
        <v>607</v>
      </c>
      <c r="C64">
        <v>618</v>
      </c>
      <c r="D64">
        <v>625</v>
      </c>
      <c r="E64">
        <v>318.41399999999999</v>
      </c>
    </row>
    <row r="65" spans="1:5">
      <c r="A65" s="157">
        <v>44867</v>
      </c>
      <c r="B65">
        <v>610</v>
      </c>
      <c r="C65">
        <v>621</v>
      </c>
      <c r="D65">
        <v>630</v>
      </c>
      <c r="E65">
        <v>312.19299999999998</v>
      </c>
    </row>
    <row r="66" spans="1:5">
      <c r="A66" s="157">
        <v>44868</v>
      </c>
      <c r="B66">
        <v>607</v>
      </c>
      <c r="C66">
        <v>613</v>
      </c>
      <c r="D66">
        <v>620</v>
      </c>
      <c r="E66">
        <v>483.536</v>
      </c>
    </row>
    <row r="67" spans="1:5">
      <c r="A67" s="157">
        <v>44869</v>
      </c>
      <c r="B67">
        <v>614</v>
      </c>
      <c r="C67">
        <v>624</v>
      </c>
      <c r="D67">
        <v>629</v>
      </c>
      <c r="E67">
        <v>143.88999999999999</v>
      </c>
    </row>
    <row r="68" spans="1:5">
      <c r="A68" s="157">
        <v>44870</v>
      </c>
      <c r="E68">
        <v>189.024</v>
      </c>
    </row>
    <row r="69" spans="1:5">
      <c r="A69" s="157">
        <v>44871</v>
      </c>
      <c r="E69">
        <v>458.15800000000002</v>
      </c>
    </row>
    <row r="70" spans="1:5">
      <c r="A70" s="157">
        <v>44872</v>
      </c>
      <c r="B70">
        <v>610</v>
      </c>
      <c r="C70">
        <v>619</v>
      </c>
      <c r="D70">
        <v>625</v>
      </c>
      <c r="E70">
        <v>350.59199999999998</v>
      </c>
    </row>
    <row r="71" spans="1:5">
      <c r="A71" s="157">
        <v>44873</v>
      </c>
      <c r="B71">
        <v>609</v>
      </c>
      <c r="C71">
        <v>622</v>
      </c>
      <c r="D71">
        <v>623</v>
      </c>
      <c r="E71">
        <v>169.66499999999999</v>
      </c>
    </row>
    <row r="72" spans="1:5">
      <c r="A72" s="157">
        <v>44874</v>
      </c>
      <c r="B72">
        <v>611</v>
      </c>
      <c r="C72">
        <v>624</v>
      </c>
      <c r="D72">
        <v>622</v>
      </c>
      <c r="E72">
        <v>493.97500000000002</v>
      </c>
    </row>
    <row r="73" spans="1:5">
      <c r="A73" s="157">
        <v>44875</v>
      </c>
      <c r="B73">
        <v>600</v>
      </c>
      <c r="C73">
        <v>617</v>
      </c>
      <c r="D73">
        <v>611</v>
      </c>
      <c r="E73">
        <v>224.369</v>
      </c>
    </row>
    <row r="74" spans="1:5">
      <c r="A74" s="157">
        <v>44876</v>
      </c>
      <c r="B74">
        <v>608</v>
      </c>
      <c r="C74">
        <v>626</v>
      </c>
      <c r="D74">
        <v>619</v>
      </c>
      <c r="E74">
        <v>221.14699999999999</v>
      </c>
    </row>
    <row r="75" spans="1:5">
      <c r="A75" s="157">
        <v>44877</v>
      </c>
      <c r="E75">
        <v>573.37599999999998</v>
      </c>
    </row>
    <row r="76" spans="1:5">
      <c r="A76" s="157">
        <v>44878</v>
      </c>
      <c r="E76">
        <v>455.60300000000001</v>
      </c>
    </row>
    <row r="77" spans="1:5">
      <c r="A77" s="157">
        <v>44879</v>
      </c>
      <c r="B77">
        <v>605</v>
      </c>
      <c r="C77">
        <v>621</v>
      </c>
      <c r="D77">
        <v>614</v>
      </c>
      <c r="E77">
        <v>123.773</v>
      </c>
    </row>
    <row r="78" spans="1:5">
      <c r="A78" s="157">
        <v>44880</v>
      </c>
      <c r="B78">
        <v>611</v>
      </c>
      <c r="C78">
        <v>627</v>
      </c>
      <c r="D78">
        <v>614</v>
      </c>
      <c r="E78">
        <v>315.654</v>
      </c>
    </row>
    <row r="79" spans="1:5">
      <c r="A79" s="157">
        <v>44881</v>
      </c>
      <c r="B79">
        <v>597</v>
      </c>
      <c r="C79">
        <v>608</v>
      </c>
      <c r="D79">
        <v>600</v>
      </c>
      <c r="E79">
        <v>361.79500000000002</v>
      </c>
    </row>
    <row r="80" spans="1:5">
      <c r="A80" s="157">
        <v>44882</v>
      </c>
      <c r="B80">
        <v>597</v>
      </c>
      <c r="C80">
        <v>603</v>
      </c>
      <c r="D80">
        <v>594</v>
      </c>
      <c r="E80">
        <v>442.30700000000002</v>
      </c>
    </row>
    <row r="81" spans="1:5">
      <c r="A81" s="157">
        <v>44883</v>
      </c>
      <c r="B81">
        <v>596</v>
      </c>
      <c r="C81">
        <v>609</v>
      </c>
      <c r="D81">
        <v>598</v>
      </c>
      <c r="E81">
        <v>295.39600000000002</v>
      </c>
    </row>
    <row r="82" spans="1:5">
      <c r="A82" s="157">
        <v>44884</v>
      </c>
      <c r="E82">
        <v>76.067999999999998</v>
      </c>
    </row>
    <row r="83" spans="1:5">
      <c r="A83" s="157">
        <v>44885</v>
      </c>
      <c r="E83">
        <v>453.56799999999998</v>
      </c>
    </row>
    <row r="84" spans="1:5">
      <c r="A84" s="157">
        <v>44886</v>
      </c>
      <c r="B84">
        <v>596</v>
      </c>
      <c r="C84">
        <v>611</v>
      </c>
      <c r="D84">
        <v>601</v>
      </c>
      <c r="E84">
        <v>414.07299999999998</v>
      </c>
    </row>
    <row r="85" spans="1:5">
      <c r="A85" s="157">
        <v>44887</v>
      </c>
      <c r="B85">
        <v>591</v>
      </c>
      <c r="C85">
        <v>604</v>
      </c>
      <c r="D85">
        <v>595</v>
      </c>
      <c r="E85">
        <v>353.15</v>
      </c>
    </row>
    <row r="86" spans="1:5">
      <c r="A86" s="157">
        <v>44888</v>
      </c>
      <c r="B86">
        <v>592</v>
      </c>
      <c r="C86">
        <v>607</v>
      </c>
      <c r="D86">
        <v>597</v>
      </c>
      <c r="E86">
        <v>333.06599999999997</v>
      </c>
    </row>
    <row r="87" spans="1:5">
      <c r="A87" s="157">
        <v>44889</v>
      </c>
      <c r="B87">
        <v>592</v>
      </c>
      <c r="C87">
        <v>607</v>
      </c>
      <c r="D87">
        <v>597</v>
      </c>
      <c r="E87">
        <v>304.12299999999999</v>
      </c>
    </row>
    <row r="88" spans="1:5">
      <c r="A88" s="157">
        <v>44890</v>
      </c>
      <c r="B88">
        <v>592</v>
      </c>
      <c r="C88">
        <v>605</v>
      </c>
      <c r="D88">
        <v>598</v>
      </c>
      <c r="E88">
        <v>139.25</v>
      </c>
    </row>
    <row r="89" spans="1:5">
      <c r="A89" s="157">
        <v>44891</v>
      </c>
      <c r="E89">
        <v>76.179000000000002</v>
      </c>
    </row>
    <row r="90" spans="1:5">
      <c r="A90" s="157">
        <v>44892</v>
      </c>
      <c r="E90">
        <v>405.33</v>
      </c>
    </row>
    <row r="91" spans="1:5">
      <c r="A91" s="157">
        <v>44893</v>
      </c>
      <c r="B91">
        <v>591</v>
      </c>
      <c r="C91">
        <v>609</v>
      </c>
      <c r="D91">
        <v>602</v>
      </c>
      <c r="E91">
        <v>319.57299999999998</v>
      </c>
    </row>
    <row r="92" spans="1:5">
      <c r="A92" s="157">
        <v>44894</v>
      </c>
      <c r="B92">
        <v>589</v>
      </c>
      <c r="C92">
        <v>606</v>
      </c>
      <c r="D92">
        <v>599</v>
      </c>
      <c r="E92">
        <v>366.65600000000001</v>
      </c>
    </row>
    <row r="93" spans="1:5">
      <c r="A93" s="157">
        <v>44895</v>
      </c>
      <c r="B93">
        <v>592</v>
      </c>
      <c r="C93">
        <v>610</v>
      </c>
      <c r="D93">
        <v>601</v>
      </c>
      <c r="E93">
        <v>363.92</v>
      </c>
    </row>
    <row r="94" spans="1:5">
      <c r="A94" s="157">
        <v>44896</v>
      </c>
      <c r="B94">
        <v>586</v>
      </c>
      <c r="C94">
        <v>596</v>
      </c>
      <c r="D94">
        <v>579</v>
      </c>
      <c r="E94">
        <v>410.75700000000001</v>
      </c>
    </row>
    <row r="95" spans="1:5">
      <c r="A95" s="157">
        <v>44897</v>
      </c>
      <c r="B95">
        <v>589</v>
      </c>
      <c r="C95">
        <v>596</v>
      </c>
      <c r="D95">
        <v>582</v>
      </c>
      <c r="E95">
        <v>367.15899999999999</v>
      </c>
    </row>
    <row r="96" spans="1:5">
      <c r="A96" s="157">
        <v>44898</v>
      </c>
      <c r="E96">
        <v>299.58600000000001</v>
      </c>
    </row>
    <row r="97" spans="1:5">
      <c r="A97" s="157">
        <v>44899</v>
      </c>
      <c r="E97">
        <v>100.764</v>
      </c>
    </row>
    <row r="98" spans="1:5">
      <c r="A98" s="157">
        <v>44900</v>
      </c>
      <c r="B98">
        <v>589</v>
      </c>
      <c r="C98">
        <v>591</v>
      </c>
      <c r="D98">
        <v>582</v>
      </c>
      <c r="E98">
        <v>302.726</v>
      </c>
    </row>
    <row r="99" spans="1:5">
      <c r="A99" s="157">
        <v>44901</v>
      </c>
      <c r="B99">
        <v>604</v>
      </c>
      <c r="C99">
        <v>592</v>
      </c>
      <c r="D99">
        <v>588</v>
      </c>
      <c r="E99">
        <v>301.11500000000001</v>
      </c>
    </row>
    <row r="100" spans="1:5">
      <c r="A100" s="157">
        <v>44902</v>
      </c>
      <c r="B100">
        <v>611</v>
      </c>
      <c r="C100">
        <v>587</v>
      </c>
      <c r="D100">
        <v>595</v>
      </c>
      <c r="E100">
        <v>178.54599999999999</v>
      </c>
    </row>
    <row r="101" spans="1:5">
      <c r="A101" s="157">
        <v>44903</v>
      </c>
      <c r="B101">
        <v>616</v>
      </c>
      <c r="C101">
        <v>587</v>
      </c>
      <c r="D101">
        <v>603</v>
      </c>
      <c r="E101">
        <v>328.553</v>
      </c>
    </row>
    <row r="102" spans="1:5">
      <c r="A102" s="157">
        <v>44904</v>
      </c>
      <c r="B102">
        <v>615</v>
      </c>
      <c r="C102">
        <v>587</v>
      </c>
      <c r="D102">
        <v>601</v>
      </c>
      <c r="E102">
        <v>414.72899999999998</v>
      </c>
    </row>
    <row r="103" spans="1:5">
      <c r="A103" s="157">
        <v>44905</v>
      </c>
      <c r="E103">
        <v>133.69499999999999</v>
      </c>
    </row>
    <row r="104" spans="1:5">
      <c r="A104" s="157">
        <v>44906</v>
      </c>
      <c r="E104">
        <v>243.02799999999999</v>
      </c>
    </row>
    <row r="105" spans="1:5">
      <c r="A105" s="157">
        <v>44907</v>
      </c>
      <c r="B105">
        <v>614</v>
      </c>
      <c r="C105">
        <v>581</v>
      </c>
      <c r="D105">
        <v>595</v>
      </c>
      <c r="E105">
        <v>203.72499999999999</v>
      </c>
    </row>
    <row r="106" spans="1:5">
      <c r="A106" s="157">
        <v>44908</v>
      </c>
      <c r="B106">
        <v>630</v>
      </c>
      <c r="C106">
        <v>588</v>
      </c>
      <c r="D106">
        <v>606</v>
      </c>
      <c r="E106">
        <v>277.41800000000001</v>
      </c>
    </row>
    <row r="107" spans="1:5">
      <c r="A107" s="157">
        <v>44909</v>
      </c>
      <c r="B107">
        <v>631</v>
      </c>
      <c r="C107">
        <v>589</v>
      </c>
      <c r="D107">
        <v>609</v>
      </c>
      <c r="E107">
        <v>241.578</v>
      </c>
    </row>
    <row r="108" spans="1:5">
      <c r="A108" s="157">
        <v>44910</v>
      </c>
      <c r="B108">
        <v>628</v>
      </c>
      <c r="C108">
        <v>586</v>
      </c>
      <c r="D108">
        <v>602</v>
      </c>
      <c r="E108">
        <v>452.89499999999998</v>
      </c>
    </row>
    <row r="109" spans="1:5">
      <c r="A109" s="157">
        <v>44911</v>
      </c>
      <c r="B109">
        <v>625</v>
      </c>
      <c r="C109">
        <v>588</v>
      </c>
      <c r="D109">
        <v>604</v>
      </c>
      <c r="E109">
        <v>321.72300000000001</v>
      </c>
    </row>
    <row r="110" spans="1:5">
      <c r="A110" s="157">
        <v>44912</v>
      </c>
      <c r="E110">
        <v>251.238</v>
      </c>
    </row>
    <row r="111" spans="1:5">
      <c r="A111" s="157">
        <v>44913</v>
      </c>
      <c r="E111">
        <v>430.613</v>
      </c>
    </row>
    <row r="112" spans="1:5">
      <c r="A112" s="157">
        <v>44914</v>
      </c>
      <c r="B112">
        <v>625</v>
      </c>
      <c r="C112">
        <v>579</v>
      </c>
      <c r="D112">
        <v>597</v>
      </c>
      <c r="E112">
        <v>196.387</v>
      </c>
    </row>
    <row r="113" spans="1:5">
      <c r="A113" s="157">
        <v>44915</v>
      </c>
      <c r="B113">
        <v>625</v>
      </c>
      <c r="C113">
        <v>586</v>
      </c>
      <c r="D113">
        <v>604</v>
      </c>
      <c r="E113">
        <v>131.107</v>
      </c>
    </row>
    <row r="114" spans="1:5">
      <c r="A114" s="157">
        <v>44916</v>
      </c>
      <c r="B114">
        <v>630</v>
      </c>
      <c r="C114">
        <v>585</v>
      </c>
      <c r="D114">
        <v>605</v>
      </c>
      <c r="E114">
        <v>353.47</v>
      </c>
    </row>
    <row r="115" spans="1:5">
      <c r="A115" s="157">
        <v>44917</v>
      </c>
      <c r="B115">
        <v>625</v>
      </c>
      <c r="C115">
        <v>580</v>
      </c>
      <c r="D115">
        <v>600</v>
      </c>
      <c r="E115">
        <v>102.464</v>
      </c>
    </row>
    <row r="116" spans="1:5">
      <c r="A116" s="157">
        <v>44918</v>
      </c>
      <c r="B116">
        <v>629</v>
      </c>
      <c r="C116">
        <v>584</v>
      </c>
      <c r="D116">
        <v>604</v>
      </c>
      <c r="E116">
        <v>184.755</v>
      </c>
    </row>
    <row r="117" spans="1:5">
      <c r="A117" s="157">
        <v>44919</v>
      </c>
      <c r="E117">
        <v>123.187</v>
      </c>
    </row>
    <row r="118" spans="1:5">
      <c r="A118" s="157">
        <v>44920</v>
      </c>
      <c r="E118">
        <v>118.79</v>
      </c>
    </row>
    <row r="119" spans="1:5">
      <c r="A119" s="157">
        <v>44921</v>
      </c>
      <c r="B119">
        <v>625</v>
      </c>
      <c r="C119">
        <v>584</v>
      </c>
      <c r="D119">
        <v>604</v>
      </c>
      <c r="E119">
        <v>88.141999999999996</v>
      </c>
    </row>
    <row r="120" spans="1:5">
      <c r="A120" s="157">
        <v>44922</v>
      </c>
      <c r="B120">
        <v>625</v>
      </c>
      <c r="C120">
        <v>585</v>
      </c>
      <c r="D120">
        <v>605</v>
      </c>
      <c r="E120">
        <v>294.02699999999999</v>
      </c>
    </row>
    <row r="121" spans="1:5">
      <c r="A121" s="157">
        <v>44923</v>
      </c>
      <c r="B121">
        <v>614</v>
      </c>
      <c r="C121">
        <v>598</v>
      </c>
      <c r="D121">
        <v>614</v>
      </c>
      <c r="E121">
        <v>428.33100000000002</v>
      </c>
    </row>
    <row r="122" spans="1:5">
      <c r="A122" s="157">
        <v>44924</v>
      </c>
      <c r="B122">
        <v>615</v>
      </c>
      <c r="C122">
        <v>598</v>
      </c>
      <c r="D122">
        <v>613</v>
      </c>
      <c r="E122">
        <v>239.36</v>
      </c>
    </row>
    <row r="123" spans="1:5">
      <c r="A123" s="157">
        <v>44925</v>
      </c>
      <c r="B123">
        <v>619</v>
      </c>
      <c r="C123">
        <v>602</v>
      </c>
      <c r="D123">
        <v>617</v>
      </c>
      <c r="E123">
        <v>159.07499999999999</v>
      </c>
    </row>
    <row r="124" spans="1:5">
      <c r="A124" s="157">
        <v>44926</v>
      </c>
      <c r="E124">
        <v>395.00099999999998</v>
      </c>
    </row>
    <row r="125" spans="1:5">
      <c r="A125" s="157">
        <v>44927</v>
      </c>
      <c r="E125">
        <v>148.52099999999999</v>
      </c>
    </row>
    <row r="126" spans="1:5">
      <c r="A126" s="157">
        <v>44928</v>
      </c>
      <c r="B126">
        <v>618</v>
      </c>
      <c r="C126">
        <v>602</v>
      </c>
      <c r="D126">
        <v>617</v>
      </c>
      <c r="E126">
        <v>120.31100000000001</v>
      </c>
    </row>
    <row r="127" spans="1:5">
      <c r="A127" s="157">
        <v>44929</v>
      </c>
      <c r="B127">
        <v>610</v>
      </c>
      <c r="C127">
        <v>592</v>
      </c>
      <c r="D127">
        <v>605</v>
      </c>
      <c r="E127">
        <v>292.60300000000001</v>
      </c>
    </row>
    <row r="128" spans="1:5">
      <c r="A128" s="157">
        <v>44930</v>
      </c>
      <c r="B128">
        <v>606</v>
      </c>
      <c r="C128">
        <v>589</v>
      </c>
      <c r="D128">
        <v>600</v>
      </c>
      <c r="E128">
        <v>104.048</v>
      </c>
    </row>
    <row r="129" spans="1:5">
      <c r="A129" s="157">
        <v>44931</v>
      </c>
      <c r="B129">
        <v>601</v>
      </c>
      <c r="C129">
        <v>585</v>
      </c>
      <c r="D129">
        <v>594</v>
      </c>
      <c r="E129">
        <v>241.202</v>
      </c>
    </row>
    <row r="130" spans="1:5">
      <c r="A130" s="157">
        <v>44932</v>
      </c>
      <c r="B130">
        <v>612</v>
      </c>
      <c r="C130">
        <v>598</v>
      </c>
      <c r="D130">
        <v>607</v>
      </c>
      <c r="E130">
        <v>424.31299999999999</v>
      </c>
    </row>
    <row r="131" spans="1:5">
      <c r="A131" s="157">
        <v>44933</v>
      </c>
      <c r="E131">
        <v>175.85300000000001</v>
      </c>
    </row>
    <row r="132" spans="1:5">
      <c r="A132" s="157">
        <v>44934</v>
      </c>
      <c r="E132">
        <v>289.06299999999999</v>
      </c>
    </row>
    <row r="133" spans="1:5">
      <c r="A133" s="157">
        <v>44935</v>
      </c>
      <c r="B133">
        <v>613</v>
      </c>
      <c r="C133">
        <v>598</v>
      </c>
      <c r="D133">
        <v>606</v>
      </c>
      <c r="E133">
        <v>243.86600000000001</v>
      </c>
    </row>
    <row r="134" spans="1:5">
      <c r="A134" s="157">
        <v>44936</v>
      </c>
      <c r="B134">
        <v>615</v>
      </c>
      <c r="C134">
        <v>599</v>
      </c>
      <c r="D134">
        <v>608</v>
      </c>
      <c r="E134">
        <v>359.86099999999999</v>
      </c>
    </row>
    <row r="135" spans="1:5">
      <c r="A135" s="157">
        <v>44937</v>
      </c>
      <c r="B135">
        <v>617</v>
      </c>
      <c r="C135">
        <v>601</v>
      </c>
      <c r="D135">
        <v>610</v>
      </c>
      <c r="E135">
        <v>596.40200000000004</v>
      </c>
    </row>
    <row r="136" spans="1:5">
      <c r="A136" s="157">
        <v>44938</v>
      </c>
      <c r="B136">
        <v>623</v>
      </c>
      <c r="C136">
        <v>604</v>
      </c>
      <c r="D136">
        <v>615</v>
      </c>
      <c r="E136">
        <v>102.31100000000001</v>
      </c>
    </row>
    <row r="137" spans="1:5">
      <c r="A137" s="157">
        <v>44939</v>
      </c>
      <c r="B137">
        <v>626</v>
      </c>
      <c r="C137">
        <v>598</v>
      </c>
      <c r="D137">
        <v>615</v>
      </c>
      <c r="E137">
        <v>250.32900000000001</v>
      </c>
    </row>
    <row r="138" spans="1:5">
      <c r="A138" s="157">
        <v>44940</v>
      </c>
      <c r="E138">
        <v>462.63099999999997</v>
      </c>
    </row>
    <row r="139" spans="1:5">
      <c r="A139" s="157">
        <v>44941</v>
      </c>
      <c r="E139">
        <v>122.902</v>
      </c>
    </row>
    <row r="140" spans="1:5">
      <c r="A140" s="157">
        <v>44942</v>
      </c>
      <c r="B140">
        <v>626</v>
      </c>
      <c r="C140">
        <v>598</v>
      </c>
      <c r="D140">
        <v>615</v>
      </c>
      <c r="E140">
        <v>216.102</v>
      </c>
    </row>
    <row r="141" spans="1:5">
      <c r="A141" s="157">
        <v>44943</v>
      </c>
      <c r="B141">
        <v>626</v>
      </c>
      <c r="C141">
        <v>598</v>
      </c>
      <c r="D141">
        <v>619</v>
      </c>
      <c r="E141">
        <v>358.584</v>
      </c>
    </row>
    <row r="142" spans="1:5">
      <c r="A142" s="157">
        <v>44944</v>
      </c>
      <c r="B142">
        <v>621</v>
      </c>
      <c r="C142">
        <v>587</v>
      </c>
      <c r="D142">
        <v>608</v>
      </c>
      <c r="E142">
        <v>317.779</v>
      </c>
    </row>
    <row r="143" spans="1:5">
      <c r="A143" s="157">
        <v>44945</v>
      </c>
      <c r="B143">
        <v>617</v>
      </c>
      <c r="C143">
        <v>583</v>
      </c>
      <c r="D143">
        <v>604</v>
      </c>
      <c r="E143">
        <v>110.855</v>
      </c>
    </row>
    <row r="144" spans="1:5">
      <c r="A144" s="157">
        <v>44946</v>
      </c>
      <c r="B144">
        <v>614</v>
      </c>
      <c r="C144">
        <v>579</v>
      </c>
      <c r="D144">
        <v>601</v>
      </c>
      <c r="E144">
        <v>261.32400000000001</v>
      </c>
    </row>
    <row r="145" spans="1:5">
      <c r="A145" s="157">
        <v>44947</v>
      </c>
      <c r="E145">
        <v>81.010999999999996</v>
      </c>
    </row>
    <row r="146" spans="1:5">
      <c r="A146" s="157">
        <v>44948</v>
      </c>
      <c r="E146">
        <v>373.90800000000002</v>
      </c>
    </row>
    <row r="147" spans="1:5">
      <c r="A147" s="157">
        <v>44949</v>
      </c>
      <c r="B147">
        <v>608</v>
      </c>
      <c r="C147">
        <v>574</v>
      </c>
      <c r="D147">
        <v>594</v>
      </c>
      <c r="E147">
        <v>366.73</v>
      </c>
    </row>
    <row r="148" spans="1:5">
      <c r="A148" s="157">
        <v>44950</v>
      </c>
      <c r="B148">
        <v>608</v>
      </c>
      <c r="C148">
        <v>574</v>
      </c>
      <c r="D148">
        <v>593</v>
      </c>
      <c r="E148">
        <v>284.87</v>
      </c>
    </row>
    <row r="149" spans="1:5">
      <c r="A149" s="157">
        <v>44951</v>
      </c>
      <c r="B149">
        <v>613</v>
      </c>
      <c r="C149">
        <v>578</v>
      </c>
      <c r="D149">
        <v>599</v>
      </c>
      <c r="E149">
        <v>172.095</v>
      </c>
    </row>
    <row r="150" spans="1:5">
      <c r="A150" s="157">
        <v>44952</v>
      </c>
      <c r="B150">
        <v>620</v>
      </c>
      <c r="C150">
        <v>584</v>
      </c>
      <c r="D150">
        <v>608</v>
      </c>
      <c r="E150">
        <v>391.20800000000003</v>
      </c>
    </row>
    <row r="151" spans="1:5">
      <c r="A151" s="157">
        <v>44953</v>
      </c>
      <c r="B151">
        <v>615</v>
      </c>
      <c r="C151">
        <v>579</v>
      </c>
      <c r="D151">
        <v>602</v>
      </c>
      <c r="E151">
        <v>306.84899999999999</v>
      </c>
    </row>
    <row r="152" spans="1:5">
      <c r="A152" s="157">
        <v>44954</v>
      </c>
      <c r="E152">
        <v>336.47899999999998</v>
      </c>
    </row>
    <row r="153" spans="1:5">
      <c r="A153" s="157">
        <v>44955</v>
      </c>
      <c r="E153">
        <v>291.815</v>
      </c>
    </row>
    <row r="154" spans="1:5">
      <c r="A154" s="157">
        <v>44956</v>
      </c>
      <c r="B154">
        <v>625</v>
      </c>
      <c r="C154">
        <v>586</v>
      </c>
      <c r="D154">
        <v>612</v>
      </c>
      <c r="E154">
        <v>122.417</v>
      </c>
    </row>
    <row r="155" spans="1:5">
      <c r="A155" s="157">
        <v>44957</v>
      </c>
      <c r="B155">
        <v>626</v>
      </c>
      <c r="C155">
        <v>585</v>
      </c>
      <c r="D155">
        <v>613</v>
      </c>
      <c r="E155">
        <v>283.41699999999997</v>
      </c>
    </row>
    <row r="156" spans="1:5">
      <c r="A156" s="157">
        <v>44958</v>
      </c>
      <c r="B156">
        <v>619</v>
      </c>
      <c r="C156">
        <v>577</v>
      </c>
      <c r="D156">
        <v>606</v>
      </c>
      <c r="E156">
        <v>189.399</v>
      </c>
    </row>
    <row r="157" spans="1:5">
      <c r="A157" s="157">
        <v>44959</v>
      </c>
      <c r="B157">
        <v>624</v>
      </c>
      <c r="C157">
        <v>578</v>
      </c>
      <c r="D157">
        <v>612</v>
      </c>
      <c r="E157">
        <v>384.25700000000001</v>
      </c>
    </row>
    <row r="158" spans="1:5">
      <c r="A158" s="157">
        <v>44960</v>
      </c>
      <c r="B158">
        <v>624</v>
      </c>
      <c r="C158">
        <v>578</v>
      </c>
      <c r="D158">
        <v>607</v>
      </c>
      <c r="E158">
        <v>203.11500000000001</v>
      </c>
    </row>
    <row r="159" spans="1:5">
      <c r="A159" s="157">
        <v>44961</v>
      </c>
      <c r="E159">
        <v>164.184</v>
      </c>
    </row>
    <row r="160" spans="1:5">
      <c r="A160" s="157">
        <v>44962</v>
      </c>
      <c r="E160">
        <v>211.94900000000001</v>
      </c>
    </row>
    <row r="161" spans="1:5">
      <c r="A161" s="157">
        <v>44963</v>
      </c>
      <c r="B161">
        <v>620</v>
      </c>
      <c r="C161">
        <v>574</v>
      </c>
      <c r="D161">
        <v>601</v>
      </c>
      <c r="E161">
        <v>311.76499999999999</v>
      </c>
    </row>
    <row r="162" spans="1:5">
      <c r="A162" s="157">
        <v>44964</v>
      </c>
      <c r="B162">
        <v>617</v>
      </c>
      <c r="C162">
        <v>570</v>
      </c>
      <c r="D162">
        <v>598</v>
      </c>
      <c r="E162">
        <v>218.32300000000001</v>
      </c>
    </row>
    <row r="163" spans="1:5">
      <c r="A163" s="157">
        <v>44965</v>
      </c>
      <c r="B163">
        <v>617</v>
      </c>
      <c r="C163">
        <v>569</v>
      </c>
      <c r="D163">
        <v>600</v>
      </c>
      <c r="E163">
        <v>276.48500000000001</v>
      </c>
    </row>
    <row r="164" spans="1:5">
      <c r="A164" s="157">
        <v>44966</v>
      </c>
      <c r="B164">
        <v>619</v>
      </c>
      <c r="C164">
        <v>567</v>
      </c>
      <c r="D164">
        <v>599</v>
      </c>
      <c r="E164">
        <v>307.46699999999998</v>
      </c>
    </row>
    <row r="165" spans="1:5">
      <c r="A165" s="157">
        <v>44967</v>
      </c>
      <c r="B165">
        <v>627</v>
      </c>
      <c r="C165">
        <v>570</v>
      </c>
      <c r="D165">
        <v>608</v>
      </c>
      <c r="E165">
        <v>400.077</v>
      </c>
    </row>
    <row r="166" spans="1:5">
      <c r="A166" s="157">
        <v>44968</v>
      </c>
      <c r="E166">
        <v>17.599</v>
      </c>
    </row>
    <row r="167" spans="1:5">
      <c r="A167" s="157">
        <v>44969</v>
      </c>
      <c r="E167">
        <v>147.53700000000001</v>
      </c>
    </row>
    <row r="168" spans="1:5">
      <c r="A168" s="157">
        <v>44970</v>
      </c>
      <c r="B168">
        <v>627</v>
      </c>
      <c r="C168">
        <v>569</v>
      </c>
      <c r="D168">
        <v>608</v>
      </c>
      <c r="E168">
        <v>300.46699999999998</v>
      </c>
    </row>
    <row r="169" spans="1:5">
      <c r="A169" s="157">
        <v>44971</v>
      </c>
      <c r="B169">
        <v>626</v>
      </c>
      <c r="C169">
        <v>565</v>
      </c>
      <c r="D169">
        <v>604</v>
      </c>
      <c r="E169">
        <v>289.82900000000001</v>
      </c>
    </row>
    <row r="170" spans="1:5">
      <c r="A170" s="157">
        <v>44972</v>
      </c>
      <c r="B170">
        <v>621</v>
      </c>
      <c r="C170">
        <v>561</v>
      </c>
      <c r="D170">
        <v>599</v>
      </c>
      <c r="E170">
        <v>326.62299999999999</v>
      </c>
    </row>
    <row r="171" spans="1:5">
      <c r="A171" s="157">
        <v>44973</v>
      </c>
      <c r="B171">
        <v>622</v>
      </c>
      <c r="C171">
        <v>561</v>
      </c>
      <c r="D171">
        <v>599</v>
      </c>
      <c r="E171">
        <v>101.761</v>
      </c>
    </row>
    <row r="172" spans="1:5">
      <c r="A172" s="157">
        <v>44974</v>
      </c>
      <c r="B172">
        <v>622</v>
      </c>
      <c r="C172">
        <v>561</v>
      </c>
      <c r="D172">
        <v>598</v>
      </c>
      <c r="E172">
        <v>130.83099999999999</v>
      </c>
    </row>
    <row r="173" spans="1:5">
      <c r="A173" s="157">
        <v>44975</v>
      </c>
      <c r="E173">
        <v>134.83699999999999</v>
      </c>
    </row>
    <row r="174" spans="1:5">
      <c r="A174" s="157">
        <v>44976</v>
      </c>
      <c r="E174">
        <v>130.102</v>
      </c>
    </row>
    <row r="175" spans="1:5">
      <c r="A175" s="157">
        <v>44977</v>
      </c>
      <c r="B175">
        <v>622</v>
      </c>
      <c r="C175">
        <v>561</v>
      </c>
      <c r="D175">
        <v>598</v>
      </c>
      <c r="E175">
        <v>24.861999999999998</v>
      </c>
    </row>
    <row r="176" spans="1:5">
      <c r="A176" s="157">
        <v>44978</v>
      </c>
      <c r="B176">
        <v>630</v>
      </c>
      <c r="C176">
        <v>569</v>
      </c>
      <c r="D176">
        <v>606</v>
      </c>
      <c r="E176">
        <v>164.10900000000001</v>
      </c>
    </row>
    <row r="177" spans="1:5">
      <c r="A177" s="157">
        <v>44979</v>
      </c>
      <c r="B177">
        <v>626</v>
      </c>
      <c r="C177">
        <v>564</v>
      </c>
      <c r="D177">
        <v>602</v>
      </c>
      <c r="E177">
        <v>88.350999999999999</v>
      </c>
    </row>
    <row r="178" spans="1:5">
      <c r="A178" s="157">
        <v>44980</v>
      </c>
      <c r="B178">
        <v>624</v>
      </c>
      <c r="C178">
        <v>563</v>
      </c>
      <c r="D178">
        <v>600</v>
      </c>
      <c r="E178">
        <v>92.123000000000005</v>
      </c>
    </row>
    <row r="179" spans="1:5">
      <c r="A179" s="157">
        <v>44981</v>
      </c>
      <c r="B179">
        <v>622</v>
      </c>
      <c r="C179">
        <v>562</v>
      </c>
      <c r="D179">
        <v>598</v>
      </c>
      <c r="E179">
        <v>42.921999999999997</v>
      </c>
    </row>
    <row r="180" spans="1:5">
      <c r="A180" s="157">
        <v>44982</v>
      </c>
      <c r="E180">
        <v>36.923999999999999</v>
      </c>
    </row>
    <row r="181" spans="1:5">
      <c r="A181" s="157">
        <v>44983</v>
      </c>
      <c r="E181">
        <v>230.80799999999999</v>
      </c>
    </row>
    <row r="182" spans="1:5">
      <c r="A182" s="157">
        <v>44984</v>
      </c>
      <c r="B182">
        <v>618</v>
      </c>
      <c r="C182">
        <v>559</v>
      </c>
      <c r="D182">
        <v>594</v>
      </c>
      <c r="E182">
        <v>72.653000000000006</v>
      </c>
    </row>
    <row r="183" spans="1:5">
      <c r="A183" s="157">
        <v>44985</v>
      </c>
      <c r="B183">
        <v>608</v>
      </c>
      <c r="C183">
        <v>548</v>
      </c>
      <c r="D183">
        <v>584</v>
      </c>
      <c r="E183">
        <v>115.714</v>
      </c>
    </row>
    <row r="184" spans="1:5">
      <c r="A184" s="157">
        <v>44986</v>
      </c>
      <c r="B184">
        <v>610</v>
      </c>
      <c r="C184">
        <v>553</v>
      </c>
      <c r="D184">
        <v>589</v>
      </c>
      <c r="E184">
        <v>18.667999999999999</v>
      </c>
    </row>
    <row r="185" spans="1:5">
      <c r="A185" s="157">
        <v>44987</v>
      </c>
      <c r="B185">
        <v>615</v>
      </c>
      <c r="C185">
        <v>556</v>
      </c>
      <c r="D185">
        <v>597</v>
      </c>
      <c r="E185">
        <v>24.548999999999999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CF15-F1BE-4C24-B1F4-177C5DBEF884}">
  <dimension ref="A1:F40"/>
  <sheetViews>
    <sheetView zoomScaleNormal="100" workbookViewId="0"/>
  </sheetViews>
  <sheetFormatPr defaultColWidth="9.109375" defaultRowHeight="13.2"/>
  <cols>
    <col min="1" max="1" width="12.6640625" style="126" bestFit="1" customWidth="1"/>
    <col min="2" max="2" width="12.33203125" style="126" customWidth="1"/>
    <col min="3" max="4" width="10.6640625" style="126" customWidth="1"/>
    <col min="5" max="5" width="14.33203125" style="126" customWidth="1"/>
    <col min="6" max="16384" width="9.109375" style="126"/>
  </cols>
  <sheetData>
    <row r="1" spans="1:6" ht="40.200000000000003">
      <c r="A1" s="135" t="s">
        <v>156</v>
      </c>
      <c r="B1" s="137" t="s">
        <v>169</v>
      </c>
      <c r="C1" s="137" t="s">
        <v>26</v>
      </c>
      <c r="D1" s="146" t="s">
        <v>27</v>
      </c>
      <c r="E1" s="137" t="s">
        <v>170</v>
      </c>
    </row>
    <row r="2" spans="1:6" ht="13.8">
      <c r="A2" s="147" t="s">
        <v>159</v>
      </c>
      <c r="B2" s="145">
        <v>20.885000000000002</v>
      </c>
      <c r="C2" s="145">
        <v>32</v>
      </c>
      <c r="D2" s="148">
        <v>1.2410000000000001</v>
      </c>
      <c r="E2" s="145">
        <v>33.093000000000004</v>
      </c>
    </row>
    <row r="3" spans="1:6" ht="13.8">
      <c r="A3" s="147" t="s">
        <v>160</v>
      </c>
      <c r="B3" s="145">
        <v>15.443</v>
      </c>
      <c r="C3" s="145">
        <v>54.5</v>
      </c>
      <c r="D3" s="148">
        <v>1E-3</v>
      </c>
      <c r="E3" s="145">
        <v>36.427</v>
      </c>
    </row>
    <row r="4" spans="1:6" ht="13.8">
      <c r="A4" s="152" t="s">
        <v>109</v>
      </c>
      <c r="B4" s="145">
        <v>20.428999999999998</v>
      </c>
      <c r="C4" s="145">
        <v>49</v>
      </c>
      <c r="D4" s="148">
        <v>1.2999999999999999E-2</v>
      </c>
      <c r="E4" s="145">
        <v>39.994</v>
      </c>
    </row>
    <row r="5" spans="1:6" ht="13.8">
      <c r="A5" s="152" t="s">
        <v>110</v>
      </c>
      <c r="B5" s="145">
        <v>20.242000000000001</v>
      </c>
      <c r="C5" s="145">
        <v>40.1</v>
      </c>
      <c r="D5" s="148">
        <v>0</v>
      </c>
      <c r="E5" s="145">
        <v>38.636000000000003</v>
      </c>
    </row>
    <row r="6" spans="1:6" ht="13.8">
      <c r="A6" s="147" t="s">
        <v>111</v>
      </c>
      <c r="B6" s="145">
        <v>14.337999999999999</v>
      </c>
      <c r="C6" s="145">
        <v>49.3</v>
      </c>
      <c r="D6" s="148">
        <v>2E-3</v>
      </c>
      <c r="E6" s="145">
        <v>38.610999999999997</v>
      </c>
    </row>
    <row r="7" spans="1:6" ht="13.8">
      <c r="A7" s="147" t="s">
        <v>112</v>
      </c>
      <c r="B7" s="145">
        <v>17.291</v>
      </c>
      <c r="C7" s="145">
        <v>53.4</v>
      </c>
      <c r="D7" s="148">
        <v>1E-3</v>
      </c>
      <c r="E7" s="145">
        <v>41.173000000000002</v>
      </c>
    </row>
    <row r="8" spans="1:6">
      <c r="A8" s="147" t="s">
        <v>113</v>
      </c>
      <c r="B8" s="149">
        <v>21.677</v>
      </c>
      <c r="C8" s="150">
        <v>61.45</v>
      </c>
      <c r="D8" s="150">
        <v>2E-3</v>
      </c>
      <c r="E8" s="150">
        <v>45.484999999999999</v>
      </c>
    </row>
    <row r="9" spans="1:6">
      <c r="A9" s="147" t="s">
        <v>114</v>
      </c>
      <c r="B9" s="149">
        <v>27.068999999999999</v>
      </c>
      <c r="C9" s="150">
        <v>58.8</v>
      </c>
      <c r="D9" s="150">
        <v>0.67600000000000005</v>
      </c>
      <c r="E9" s="150">
        <v>49.466999999999999</v>
      </c>
    </row>
    <row r="10" spans="1:6">
      <c r="A10" s="147" t="s">
        <v>115</v>
      </c>
      <c r="B10" s="149">
        <v>27.155999999999999</v>
      </c>
      <c r="C10" s="150">
        <v>55</v>
      </c>
      <c r="D10" s="150">
        <v>1.6739999999999999</v>
      </c>
      <c r="E10" s="150">
        <v>49.808999999999997</v>
      </c>
    </row>
    <row r="11" spans="1:6">
      <c r="A11" s="147" t="s">
        <v>116</v>
      </c>
      <c r="B11" s="149">
        <v>26.995999999999999</v>
      </c>
      <c r="C11" s="150">
        <v>37.799999999999997</v>
      </c>
      <c r="D11" s="150">
        <v>4.7030000000000003</v>
      </c>
      <c r="E11" s="150">
        <v>43.633000000000003</v>
      </c>
    </row>
    <row r="12" spans="1:6">
      <c r="A12" s="147" t="s">
        <v>117</v>
      </c>
      <c r="B12" s="149">
        <v>23.734000000000002</v>
      </c>
      <c r="C12" s="150">
        <v>55.3</v>
      </c>
      <c r="D12" s="150">
        <v>6.4080000000000004</v>
      </c>
      <c r="E12" s="150">
        <v>47.448</v>
      </c>
    </row>
    <row r="13" spans="1:6">
      <c r="A13" s="151" t="s">
        <v>118</v>
      </c>
      <c r="B13" s="149">
        <v>28.89</v>
      </c>
      <c r="C13" s="150">
        <v>48.8</v>
      </c>
      <c r="D13" s="150">
        <v>4.8819999999999997</v>
      </c>
      <c r="E13" s="150">
        <v>45.917999999999999</v>
      </c>
      <c r="F13" s="128"/>
    </row>
    <row r="14" spans="1:6">
      <c r="A14" s="151" t="s">
        <v>34</v>
      </c>
      <c r="B14" s="149">
        <v>26.65</v>
      </c>
      <c r="C14" s="150">
        <v>46.2</v>
      </c>
      <c r="D14" s="150">
        <v>4.8159999999999998</v>
      </c>
      <c r="E14" s="150">
        <v>47.411000000000001</v>
      </c>
      <c r="F14" s="128"/>
    </row>
    <row r="15" spans="1:6">
      <c r="A15" s="151" t="s">
        <v>37</v>
      </c>
      <c r="B15" s="149">
        <v>25.06</v>
      </c>
      <c r="C15" s="150">
        <v>43.9</v>
      </c>
      <c r="D15" s="150">
        <v>3.839</v>
      </c>
      <c r="E15" s="150">
        <v>46.034999999999997</v>
      </c>
      <c r="F15" s="128"/>
    </row>
    <row r="16" spans="1:6">
      <c r="A16" s="151" t="s">
        <v>161</v>
      </c>
      <c r="B16" s="149">
        <v>23.902999999999999</v>
      </c>
      <c r="C16" s="150">
        <v>41</v>
      </c>
      <c r="D16" s="150">
        <v>6.25</v>
      </c>
      <c r="E16" s="150">
        <v>44.55</v>
      </c>
    </row>
    <row r="17" spans="1:5">
      <c r="A17" s="151" t="s">
        <v>162</v>
      </c>
      <c r="B17" s="149">
        <v>23.902999999999999</v>
      </c>
      <c r="C17" s="150">
        <v>33</v>
      </c>
      <c r="D17" s="150">
        <v>7.25</v>
      </c>
      <c r="E17" s="150">
        <v>40.950000000000003</v>
      </c>
    </row>
    <row r="19" spans="1:5">
      <c r="B19" s="161"/>
      <c r="C19" s="161"/>
      <c r="D19" s="161"/>
      <c r="E19" s="161"/>
    </row>
    <row r="20" spans="1:5">
      <c r="B20" s="161"/>
      <c r="C20" s="161"/>
      <c r="D20" s="161"/>
      <c r="E20" s="161"/>
    </row>
    <row r="21" spans="1:5">
      <c r="B21" s="161"/>
      <c r="C21" s="161"/>
      <c r="D21" s="161"/>
      <c r="E21" s="161"/>
    </row>
    <row r="22" spans="1:5">
      <c r="B22" s="161"/>
      <c r="C22" s="161"/>
      <c r="D22" s="161"/>
      <c r="E22" s="161"/>
    </row>
    <row r="23" spans="1:5">
      <c r="B23" s="161"/>
      <c r="C23" s="161"/>
      <c r="D23" s="161"/>
      <c r="E23" s="161"/>
    </row>
    <row r="24" spans="1:5">
      <c r="B24" s="161"/>
      <c r="C24" s="161"/>
      <c r="D24" s="161"/>
      <c r="E24" s="161"/>
    </row>
    <row r="25" spans="1:5">
      <c r="B25" s="161"/>
      <c r="C25" s="161"/>
      <c r="D25" s="161"/>
      <c r="E25" s="161"/>
    </row>
    <row r="26" spans="1:5">
      <c r="B26" s="161"/>
      <c r="C26" s="161"/>
      <c r="D26" s="161"/>
      <c r="E26" s="161"/>
    </row>
    <row r="27" spans="1:5">
      <c r="B27" s="161"/>
      <c r="C27" s="161"/>
      <c r="D27" s="161"/>
      <c r="E27" s="161"/>
    </row>
    <row r="28" spans="1:5">
      <c r="B28" s="161"/>
      <c r="C28" s="161"/>
      <c r="D28" s="161"/>
      <c r="E28" s="161"/>
    </row>
    <row r="29" spans="1:5">
      <c r="B29" s="161"/>
      <c r="C29" s="161"/>
      <c r="D29" s="161"/>
      <c r="E29" s="161"/>
    </row>
    <row r="30" spans="1:5">
      <c r="B30" s="161"/>
      <c r="C30" s="161"/>
      <c r="D30" s="161"/>
      <c r="E30" s="161"/>
    </row>
    <row r="31" spans="1:5">
      <c r="B31" s="161"/>
      <c r="C31" s="161"/>
      <c r="D31" s="161"/>
      <c r="E31" s="161"/>
    </row>
    <row r="32" spans="1:5">
      <c r="B32" s="161"/>
      <c r="C32" s="161"/>
      <c r="D32" s="161"/>
      <c r="E32" s="161"/>
    </row>
    <row r="33" spans="2:5">
      <c r="B33" s="161"/>
      <c r="C33" s="161"/>
      <c r="D33" s="161"/>
      <c r="E33" s="161"/>
    </row>
    <row r="34" spans="2:5">
      <c r="B34" s="161"/>
      <c r="C34" s="161"/>
      <c r="D34" s="161"/>
      <c r="E34" s="161"/>
    </row>
    <row r="35" spans="2:5">
      <c r="B35" s="161"/>
    </row>
    <row r="36" spans="2:5">
      <c r="B36" s="161"/>
    </row>
    <row r="37" spans="2:5">
      <c r="B37" s="161"/>
    </row>
    <row r="38" spans="2:5">
      <c r="B38" s="161"/>
    </row>
    <row r="39" spans="2:5">
      <c r="B39" s="161"/>
    </row>
    <row r="40" spans="2:5">
      <c r="B40" s="161"/>
    </row>
  </sheetData>
  <phoneticPr fontId="24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B8C2-F12B-417A-A77D-4B751336D638}">
  <dimension ref="A1:F28"/>
  <sheetViews>
    <sheetView zoomScaleNormal="100" workbookViewId="0">
      <selection activeCell="F18" sqref="F18"/>
    </sheetView>
  </sheetViews>
  <sheetFormatPr defaultColWidth="9.109375" defaultRowHeight="13.2"/>
  <cols>
    <col min="1" max="1" width="14.33203125" style="126" customWidth="1"/>
    <col min="2" max="2" width="12.33203125" style="126" customWidth="1"/>
    <col min="3" max="3" width="10.6640625" style="126" customWidth="1"/>
    <col min="4" max="4" width="12.5546875" style="126" customWidth="1"/>
    <col min="5" max="5" width="14.33203125" style="126" customWidth="1"/>
    <col min="6" max="16384" width="9.109375" style="126"/>
  </cols>
  <sheetData>
    <row r="1" spans="1:6" ht="41.4">
      <c r="A1" s="135" t="s">
        <v>156</v>
      </c>
      <c r="B1" s="137" t="s">
        <v>26</v>
      </c>
      <c r="C1" s="137" t="s">
        <v>171</v>
      </c>
      <c r="D1" s="146" t="s">
        <v>170</v>
      </c>
      <c r="E1" s="137" t="s">
        <v>172</v>
      </c>
    </row>
    <row r="2" spans="1:6" ht="13.8">
      <c r="A2" s="147" t="s">
        <v>111</v>
      </c>
      <c r="B2" s="162">
        <v>4.1420000000000003</v>
      </c>
      <c r="C2" s="162">
        <v>3.7210000000000001</v>
      </c>
      <c r="D2" s="163">
        <v>0.75</v>
      </c>
      <c r="E2" s="162">
        <v>0.24399999999999999</v>
      </c>
    </row>
    <row r="3" spans="1:6" ht="13.8">
      <c r="A3" s="147" t="s">
        <v>112</v>
      </c>
      <c r="B3" s="162">
        <v>3.8319999999999999</v>
      </c>
      <c r="C3" s="162">
        <v>2.7370000000000001</v>
      </c>
      <c r="D3" s="163">
        <v>0.83</v>
      </c>
      <c r="E3" s="162">
        <v>0.51</v>
      </c>
    </row>
    <row r="4" spans="1:6" ht="13.8">
      <c r="A4" s="152" t="s">
        <v>113</v>
      </c>
      <c r="B4" s="162">
        <v>3.54</v>
      </c>
      <c r="C4" s="162">
        <v>2.8079999999999998</v>
      </c>
      <c r="D4" s="163">
        <v>0.83</v>
      </c>
      <c r="E4" s="162">
        <v>0.41299999999999998</v>
      </c>
    </row>
    <row r="5" spans="1:6" ht="13.8">
      <c r="A5" s="152" t="s">
        <v>114</v>
      </c>
      <c r="B5" s="162">
        <v>2.7749999999999999</v>
      </c>
      <c r="C5" s="162">
        <v>2.0019999999999998</v>
      </c>
      <c r="D5" s="163">
        <v>0.85099999999999998</v>
      </c>
      <c r="E5" s="162">
        <v>0.33600000000000002</v>
      </c>
    </row>
    <row r="6" spans="1:6" ht="13.8">
      <c r="A6" s="147" t="s">
        <v>115</v>
      </c>
      <c r="B6" s="162">
        <v>4.3129999999999997</v>
      </c>
      <c r="C6" s="162">
        <v>3.1040000000000001</v>
      </c>
      <c r="D6" s="163">
        <v>0.92</v>
      </c>
      <c r="E6" s="162">
        <v>0.626</v>
      </c>
    </row>
    <row r="7" spans="1:6" ht="13.8">
      <c r="A7" s="147" t="s">
        <v>116</v>
      </c>
      <c r="B7" s="162">
        <v>3.8929999999999998</v>
      </c>
      <c r="C7" s="162">
        <v>2.4289999999999998</v>
      </c>
      <c r="D7" s="163">
        <v>1</v>
      </c>
      <c r="E7" s="162">
        <v>1.091</v>
      </c>
    </row>
    <row r="8" spans="1:6">
      <c r="A8" s="147" t="s">
        <v>117</v>
      </c>
      <c r="B8" s="164">
        <v>2.3660000000000001</v>
      </c>
      <c r="C8" s="165">
        <v>1.532</v>
      </c>
      <c r="D8" s="165">
        <v>1</v>
      </c>
      <c r="E8" s="165">
        <v>0.92600000000000005</v>
      </c>
    </row>
    <row r="9" spans="1:6">
      <c r="A9" s="147" t="s">
        <v>118</v>
      </c>
      <c r="B9" s="164">
        <v>2.2989999999999999</v>
      </c>
      <c r="C9" s="165">
        <v>1.663</v>
      </c>
      <c r="D9" s="165">
        <v>1.1000000000000001</v>
      </c>
      <c r="E9" s="165">
        <v>0.46300000000000002</v>
      </c>
    </row>
    <row r="10" spans="1:6">
      <c r="A10" s="147" t="s">
        <v>34</v>
      </c>
      <c r="B10" s="164">
        <v>4.7560000000000002</v>
      </c>
      <c r="C10" s="165">
        <v>3.746</v>
      </c>
      <c r="D10" s="165">
        <v>1.1000000000000001</v>
      </c>
      <c r="E10" s="165">
        <v>0.374</v>
      </c>
    </row>
    <row r="11" spans="1:6">
      <c r="A11" s="147" t="s">
        <v>37</v>
      </c>
      <c r="B11" s="164">
        <v>6.82</v>
      </c>
      <c r="C11" s="165">
        <v>5.8410000000000002</v>
      </c>
      <c r="D11" s="165">
        <v>1.1000000000000001</v>
      </c>
      <c r="E11" s="165">
        <v>0.255</v>
      </c>
    </row>
    <row r="12" spans="1:6" ht="12.6" customHeight="1">
      <c r="A12" s="147" t="s">
        <v>161</v>
      </c>
      <c r="B12" s="164">
        <v>7.3</v>
      </c>
      <c r="C12" s="165">
        <v>5.7</v>
      </c>
      <c r="D12" s="165">
        <v>1.25</v>
      </c>
      <c r="E12" s="165">
        <v>0.65800000000000003</v>
      </c>
    </row>
    <row r="13" spans="1:6">
      <c r="A13" s="151" t="s">
        <v>162</v>
      </c>
      <c r="B13" s="164">
        <v>8.3000000000000007</v>
      </c>
      <c r="C13" s="165">
        <v>6.25</v>
      </c>
      <c r="D13" s="165">
        <v>1.35</v>
      </c>
      <c r="E13" s="165">
        <v>0.95599999999999996</v>
      </c>
      <c r="F13" s="128"/>
    </row>
    <row r="14" spans="1:6">
      <c r="A14" s="151"/>
      <c r="B14" s="149"/>
      <c r="C14" s="150"/>
      <c r="D14" s="150"/>
      <c r="E14" s="150"/>
      <c r="F14" s="128"/>
    </row>
    <row r="15" spans="1:6">
      <c r="A15" s="151"/>
      <c r="B15" s="149"/>
      <c r="C15" s="150"/>
      <c r="D15" s="150"/>
      <c r="E15" s="150"/>
      <c r="F15" s="128"/>
    </row>
    <row r="16" spans="1:6">
      <c r="A16" s="151"/>
      <c r="B16" s="149"/>
      <c r="C16" s="149"/>
      <c r="D16" s="149"/>
      <c r="E16" s="149"/>
    </row>
    <row r="17" spans="1:5">
      <c r="A17" s="151"/>
      <c r="B17" s="149"/>
      <c r="C17" s="149"/>
      <c r="D17" s="149"/>
      <c r="E17" s="149"/>
    </row>
    <row r="18" spans="1:5">
      <c r="B18" s="149"/>
      <c r="C18" s="149"/>
      <c r="D18" s="149"/>
      <c r="E18" s="149"/>
    </row>
    <row r="19" spans="1:5">
      <c r="B19" s="149"/>
      <c r="C19" s="149"/>
      <c r="D19" s="149"/>
      <c r="E19" s="149"/>
    </row>
    <row r="20" spans="1:5">
      <c r="B20" s="149"/>
      <c r="C20" s="149"/>
      <c r="D20" s="149"/>
      <c r="E20" s="149"/>
    </row>
    <row r="21" spans="1:5">
      <c r="B21" s="149"/>
      <c r="C21" s="149"/>
      <c r="D21" s="149"/>
      <c r="E21" s="149"/>
    </row>
    <row r="22" spans="1:5">
      <c r="B22" s="149"/>
      <c r="C22" s="149"/>
      <c r="D22" s="149"/>
      <c r="E22" s="149"/>
    </row>
    <row r="23" spans="1:5">
      <c r="B23" s="149"/>
      <c r="C23" s="149"/>
      <c r="D23" s="149"/>
      <c r="E23" s="149"/>
    </row>
    <row r="24" spans="1:5">
      <c r="B24" s="149"/>
      <c r="C24" s="149"/>
      <c r="D24" s="149"/>
      <c r="E24" s="149"/>
    </row>
    <row r="25" spans="1:5">
      <c r="B25" s="149"/>
      <c r="C25" s="149"/>
      <c r="D25" s="149"/>
      <c r="E25" s="149"/>
    </row>
    <row r="26" spans="1:5">
      <c r="B26" s="149"/>
      <c r="C26" s="149"/>
      <c r="D26" s="149"/>
      <c r="E26" s="149"/>
    </row>
    <row r="27" spans="1:5">
      <c r="B27" s="149"/>
      <c r="C27" s="149"/>
      <c r="D27" s="149"/>
      <c r="E27" s="149"/>
    </row>
    <row r="28" spans="1:5">
      <c r="B28" s="149"/>
      <c r="C28" s="149"/>
      <c r="D28" s="149"/>
      <c r="E28" s="14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6"/>
  <sheetViews>
    <sheetView showGridLines="0" zoomScale="70" zoomScaleNormal="70" workbookViewId="0"/>
  </sheetViews>
  <sheetFormatPr defaultColWidth="9.109375" defaultRowHeight="13.2"/>
  <cols>
    <col min="1" max="1" width="21.6640625" style="16" customWidth="1"/>
    <col min="2" max="2" width="14.109375" style="16" bestFit="1" customWidth="1"/>
    <col min="3" max="3" width="9.5546875" style="16" customWidth="1"/>
    <col min="4" max="4" width="26.6640625" style="16" customWidth="1"/>
    <col min="5" max="5" width="9.6640625" style="16" customWidth="1"/>
    <col min="6" max="6" width="10.6640625" style="16" customWidth="1"/>
    <col min="7" max="7" width="8.6640625" style="16" bestFit="1" customWidth="1"/>
    <col min="8" max="8" width="9.6640625" style="16" customWidth="1"/>
    <col min="9" max="9" width="1.6640625" style="16" customWidth="1"/>
    <col min="10" max="10" width="12.44140625" style="16" customWidth="1"/>
    <col min="11" max="12" width="10.6640625" style="16" customWidth="1"/>
    <col min="13" max="13" width="10.33203125" style="16" customWidth="1"/>
    <col min="14" max="14" width="9.6640625" style="16" customWidth="1"/>
    <col min="15" max="16" width="9.109375" style="16"/>
    <col min="17" max="17" width="15.44140625" style="16" bestFit="1" customWidth="1"/>
    <col min="18" max="18" width="10.109375" style="16" bestFit="1" customWidth="1"/>
    <col min="19" max="16384" width="9.109375" style="16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7"/>
      <c r="B2" s="18" t="s">
        <v>13</v>
      </c>
      <c r="C2" s="167"/>
      <c r="D2" s="19" t="s">
        <v>14</v>
      </c>
      <c r="E2" s="20"/>
      <c r="F2" s="167" t="s">
        <v>15</v>
      </c>
      <c r="G2" s="167"/>
      <c r="H2" s="167"/>
      <c r="I2" s="21"/>
      <c r="J2" s="20"/>
      <c r="K2" s="167"/>
      <c r="L2" s="22" t="s">
        <v>16</v>
      </c>
      <c r="M2" s="167"/>
      <c r="N2" s="17"/>
    </row>
    <row r="3" spans="1:23" ht="13.8">
      <c r="A3" s="17" t="s">
        <v>17</v>
      </c>
      <c r="B3" s="19" t="s">
        <v>18</v>
      </c>
      <c r="C3" s="17" t="s">
        <v>19</v>
      </c>
      <c r="D3" s="19"/>
      <c r="E3" s="23" t="s">
        <v>20</v>
      </c>
      <c r="F3" s="23"/>
      <c r="G3" s="23"/>
      <c r="H3" s="23"/>
      <c r="I3" s="23"/>
      <c r="J3" s="19" t="s">
        <v>21</v>
      </c>
      <c r="K3" s="23" t="s">
        <v>22</v>
      </c>
      <c r="L3" s="23"/>
      <c r="M3" s="23"/>
      <c r="N3" s="23" t="s">
        <v>23</v>
      </c>
    </row>
    <row r="4" spans="1:23" ht="13.8">
      <c r="A4" s="24" t="s">
        <v>24</v>
      </c>
      <c r="B4" s="25"/>
      <c r="C4" s="25"/>
      <c r="D4" s="25"/>
      <c r="E4" s="26" t="s">
        <v>25</v>
      </c>
      <c r="F4" s="26" t="s">
        <v>26</v>
      </c>
      <c r="G4" s="27" t="s">
        <v>27</v>
      </c>
      <c r="H4" s="28" t="s">
        <v>28</v>
      </c>
      <c r="I4" s="27"/>
      <c r="J4" s="27"/>
      <c r="K4" s="27" t="s">
        <v>29</v>
      </c>
      <c r="L4" s="28" t="s">
        <v>30</v>
      </c>
      <c r="M4" s="26" t="s">
        <v>28</v>
      </c>
      <c r="N4" s="27" t="s">
        <v>25</v>
      </c>
      <c r="W4" s="29"/>
    </row>
    <row r="5" spans="1:23" ht="14.4">
      <c r="A5" s="17"/>
      <c r="B5" s="30" t="s">
        <v>31</v>
      </c>
      <c r="C5" s="168"/>
      <c r="D5" s="31" t="s">
        <v>32</v>
      </c>
      <c r="G5" s="30"/>
      <c r="I5" s="30"/>
      <c r="J5" s="30" t="s">
        <v>33</v>
      </c>
      <c r="K5" s="30"/>
      <c r="L5" s="30"/>
      <c r="M5" s="30"/>
      <c r="N5" s="30"/>
      <c r="W5" s="29"/>
    </row>
    <row r="6" spans="1:23" ht="16.5" customHeight="1">
      <c r="A6" s="17" t="s">
        <v>34</v>
      </c>
      <c r="B6" s="32">
        <v>83.353999999999999</v>
      </c>
      <c r="C6" s="32">
        <v>82.602999999999994</v>
      </c>
      <c r="D6" s="32">
        <f>F6/C6</f>
        <v>51.042964541239421</v>
      </c>
      <c r="E6" s="33">
        <v>524.54100000000005</v>
      </c>
      <c r="F6" s="34">
        <v>4216.3019999999997</v>
      </c>
      <c r="G6" s="35">
        <v>19.815142646399998</v>
      </c>
      <c r="H6" s="35">
        <f>SUM(E6:G6)</f>
        <v>4760.6581426463999</v>
      </c>
      <c r="I6" s="17"/>
      <c r="J6" s="34">
        <v>2140.5846999999999</v>
      </c>
      <c r="K6" s="34">
        <f t="shared" ref="K6:K8" si="0">M6-L6-J6</f>
        <v>97.272779870399972</v>
      </c>
      <c r="L6" s="35">
        <v>2265.8216627759998</v>
      </c>
      <c r="M6" s="35">
        <f>H6-N6</f>
        <v>4503.6791426463997</v>
      </c>
      <c r="N6" s="35">
        <v>256.97899999999998</v>
      </c>
    </row>
    <row r="7" spans="1:23" ht="16.5" customHeight="1">
      <c r="A7" s="17" t="s">
        <v>35</v>
      </c>
      <c r="B7" s="32">
        <v>87.194999999999993</v>
      </c>
      <c r="C7" s="32">
        <v>86.311999999999998</v>
      </c>
      <c r="D7" s="32">
        <f>F7/C7</f>
        <v>51.735355454629712</v>
      </c>
      <c r="E7" s="33">
        <f>N6</f>
        <v>256.97899999999998</v>
      </c>
      <c r="F7" s="34">
        <f>F27</f>
        <v>4465.3819999999996</v>
      </c>
      <c r="G7" s="35">
        <f>G27</f>
        <v>15.9101740464</v>
      </c>
      <c r="H7" s="35">
        <f>SUM(E7:G7)</f>
        <v>4738.2711740464001</v>
      </c>
      <c r="I7" s="17"/>
      <c r="J7" s="34">
        <f>J27</f>
        <v>2203.8901705391709</v>
      </c>
      <c r="K7" s="34">
        <f t="shared" si="0"/>
        <v>102.34031607682891</v>
      </c>
      <c r="L7" s="35">
        <f>L27</f>
        <v>2157.6466874304001</v>
      </c>
      <c r="M7" s="35">
        <f>H7-N7</f>
        <v>4463.8771740463999</v>
      </c>
      <c r="N7" s="35">
        <f>N26</f>
        <v>274.39400000000001</v>
      </c>
    </row>
    <row r="8" spans="1:23" ht="16.5" customHeight="1">
      <c r="A8" s="17" t="s">
        <v>36</v>
      </c>
      <c r="B8" s="32">
        <v>87.45</v>
      </c>
      <c r="C8" s="32">
        <v>86.335999999999999</v>
      </c>
      <c r="D8" s="32">
        <f>F8/C8</f>
        <v>49.528852390659743</v>
      </c>
      <c r="E8" s="33">
        <v>274.39400000000001</v>
      </c>
      <c r="F8" s="34">
        <v>4276.1229999999996</v>
      </c>
      <c r="G8" s="35">
        <v>15</v>
      </c>
      <c r="H8" s="35">
        <f>SUM(E8:G8)</f>
        <v>4565.5169999999998</v>
      </c>
      <c r="I8" s="17"/>
      <c r="J8" s="34">
        <v>2220</v>
      </c>
      <c r="K8" s="34">
        <f t="shared" si="0"/>
        <v>120.27217429790016</v>
      </c>
      <c r="L8" s="35">
        <v>2015</v>
      </c>
      <c r="M8" s="35">
        <f>H8-N8</f>
        <v>4355.2721742979002</v>
      </c>
      <c r="N8" s="35">
        <v>210.24482570209966</v>
      </c>
    </row>
    <row r="9" spans="1:23" ht="16.5" customHeight="1">
      <c r="A9" s="21"/>
      <c r="B9" s="21"/>
      <c r="C9" s="21"/>
      <c r="D9" s="21"/>
      <c r="E9" s="36"/>
      <c r="F9" s="36"/>
      <c r="G9" s="37"/>
      <c r="H9" s="36"/>
      <c r="I9" s="36"/>
      <c r="J9" s="37"/>
      <c r="K9" s="37"/>
      <c r="L9" s="37"/>
      <c r="M9" s="37"/>
      <c r="N9" s="37"/>
    </row>
    <row r="10" spans="1:23" ht="16.5" customHeight="1">
      <c r="A10" s="51" t="s">
        <v>37</v>
      </c>
      <c r="B10" s="117"/>
      <c r="C10" s="117"/>
      <c r="D10" s="117"/>
      <c r="E10" s="41"/>
      <c r="F10" s="42"/>
      <c r="G10" s="6"/>
      <c r="H10" s="13"/>
      <c r="I10" s="117"/>
      <c r="J10" s="13"/>
      <c r="K10" s="40"/>
      <c r="L10" s="6"/>
      <c r="M10" s="6"/>
      <c r="N10" s="13"/>
    </row>
    <row r="11" spans="1:23" ht="16.5" customHeight="1">
      <c r="A11" s="21" t="s">
        <v>38</v>
      </c>
      <c r="B11" s="117"/>
      <c r="C11" s="117"/>
      <c r="D11" s="124"/>
      <c r="E11" s="41"/>
      <c r="F11" s="42"/>
      <c r="G11" s="6">
        <f>(24488.6*36.744)/1000000</f>
        <v>0.89980911839999989</v>
      </c>
      <c r="I11" s="117"/>
      <c r="J11" s="13">
        <f>((4924574*0.907185)*36.744)/1000000</f>
        <v>164.15380766099736</v>
      </c>
      <c r="K11" s="40"/>
      <c r="L11" s="6">
        <f>(2098690.6*36.744)/1000000</f>
        <v>77.11428740640001</v>
      </c>
      <c r="M11" s="6"/>
      <c r="N11" s="13"/>
      <c r="Q11" s="124"/>
    </row>
    <row r="12" spans="1:23" ht="16.5" customHeight="1">
      <c r="A12" s="21" t="s">
        <v>39</v>
      </c>
      <c r="B12" s="117"/>
      <c r="C12" s="117"/>
      <c r="D12" s="124"/>
      <c r="E12" s="41"/>
      <c r="F12" s="42"/>
      <c r="G12" s="6">
        <f>(19229.4*36.744)/1000000</f>
        <v>0.70656507359999998</v>
      </c>
      <c r="I12" s="117"/>
      <c r="J12" s="13">
        <f>((5908157*0.907185)*36.744)/1000000</f>
        <v>196.9401754972055</v>
      </c>
      <c r="K12" s="40"/>
      <c r="L12" s="6">
        <f>(10749625.7*36.744)/1000000</f>
        <v>394.9842467208</v>
      </c>
      <c r="M12" s="6"/>
      <c r="N12" s="13"/>
      <c r="Q12" s="124"/>
    </row>
    <row r="13" spans="1:23" ht="16.5" customHeight="1">
      <c r="A13" s="21" t="s">
        <v>40</v>
      </c>
      <c r="B13" s="117"/>
      <c r="C13" s="117"/>
      <c r="D13" s="124"/>
      <c r="E13" s="41"/>
      <c r="F13" s="42"/>
      <c r="G13" s="6">
        <f>(34894.1*36.744)/1000000</f>
        <v>1.2821488103999998</v>
      </c>
      <c r="I13" s="117"/>
      <c r="J13" s="13">
        <f>((5717943*0.907185)*36.744)/1000000</f>
        <v>190.59965703399854</v>
      </c>
      <c r="K13" s="40"/>
      <c r="L13" s="6">
        <f>(10581460.9*36.744)/1000000</f>
        <v>388.80519930959997</v>
      </c>
      <c r="M13" s="6"/>
      <c r="N13" s="13"/>
      <c r="Q13" s="124"/>
    </row>
    <row r="14" spans="1:23" ht="16.5" customHeight="1">
      <c r="A14" s="21" t="s">
        <v>41</v>
      </c>
      <c r="B14" s="117"/>
      <c r="C14" s="117"/>
      <c r="E14" s="41">
        <f>N6</f>
        <v>256.97899999999998</v>
      </c>
      <c r="F14" s="41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17"/>
      <c r="J14" s="13">
        <f>SUM(J11:J13)</f>
        <v>551.69364019220143</v>
      </c>
      <c r="K14" s="40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7" t="s">
        <v>42</v>
      </c>
      <c r="B15" s="117"/>
      <c r="C15" s="117"/>
      <c r="D15" s="124"/>
      <c r="E15" s="41"/>
      <c r="F15" s="41"/>
      <c r="G15" s="6">
        <f>(27884.8*36.744)/1000000</f>
        <v>1.0245990912</v>
      </c>
      <c r="H15" s="13"/>
      <c r="I15" s="117"/>
      <c r="J15" s="13">
        <f>((5947222*0.907185)*36.744)/1000000</f>
        <v>198.24235280153209</v>
      </c>
      <c r="K15" s="40"/>
      <c r="L15" s="6">
        <f>(7940701.7*36.744)/1000000</f>
        <v>291.77314326480001</v>
      </c>
      <c r="M15" s="6"/>
      <c r="N15" s="13"/>
      <c r="Q15" s="124"/>
    </row>
    <row r="16" spans="1:23" ht="16.5" customHeight="1">
      <c r="A16" s="17" t="s">
        <v>43</v>
      </c>
      <c r="B16" s="117"/>
      <c r="C16" s="117"/>
      <c r="D16" s="124"/>
      <c r="E16" s="41"/>
      <c r="F16" s="41"/>
      <c r="G16" s="6">
        <f>(23947.4*36.744)/1000000</f>
        <v>0.8799232656</v>
      </c>
      <c r="H16" s="13"/>
      <c r="I16" s="117"/>
      <c r="J16" s="13">
        <f>((5828974*0.907185)*36.744)/1000000</f>
        <v>194.30072060181334</v>
      </c>
      <c r="K16" s="40"/>
      <c r="L16" s="6">
        <f>(6392108.3*36.744)/1000000</f>
        <v>234.87162737520001</v>
      </c>
      <c r="M16" s="6"/>
      <c r="N16" s="13"/>
      <c r="Q16" s="124"/>
    </row>
    <row r="17" spans="1:17" ht="16.5" customHeight="1">
      <c r="A17" s="17" t="s">
        <v>44</v>
      </c>
      <c r="B17" s="117"/>
      <c r="C17" s="117"/>
      <c r="D17" s="124"/>
      <c r="E17" s="41"/>
      <c r="F17" s="41"/>
      <c r="G17" s="6">
        <f>(47248.7*36.744)/1000000</f>
        <v>1.7361062327999999</v>
      </c>
      <c r="H17" s="13"/>
      <c r="I17" s="117"/>
      <c r="J17" s="13">
        <f>((5232453*0.907185)*36.744)/1000000</f>
        <v>174.41652483183492</v>
      </c>
      <c r="K17" s="40"/>
      <c r="L17" s="6">
        <f>(3791255.7*36.744)/1000000</f>
        <v>139.3058994408</v>
      </c>
      <c r="M17" s="6"/>
      <c r="N17" s="13"/>
      <c r="Q17" s="124"/>
    </row>
    <row r="18" spans="1:17" ht="16.5" customHeight="1">
      <c r="A18" s="17" t="s">
        <v>45</v>
      </c>
      <c r="B18" s="117"/>
      <c r="C18" s="117"/>
      <c r="E18" s="41">
        <f>N14</f>
        <v>3136.5239999999999</v>
      </c>
      <c r="F18" s="41"/>
      <c r="G18" s="6">
        <f>SUM(G15:G17)</f>
        <v>3.6406285895999999</v>
      </c>
      <c r="H18" s="13">
        <f>E18+F18+G18</f>
        <v>3140.1646285895999</v>
      </c>
      <c r="I18" s="117"/>
      <c r="J18" s="13">
        <f>SUM(J15:J17)</f>
        <v>566.95959823518035</v>
      </c>
      <c r="K18" s="40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</row>
    <row r="19" spans="1:17" ht="16.5" customHeight="1">
      <c r="A19" s="17" t="s">
        <v>46</v>
      </c>
      <c r="B19" s="117"/>
      <c r="C19" s="117"/>
      <c r="D19" s="124"/>
      <c r="E19" s="41"/>
      <c r="F19" s="41"/>
      <c r="G19" s="6">
        <f>(33665.9*36.744)/1000000</f>
        <v>1.2370198296000001</v>
      </c>
      <c r="H19" s="13"/>
      <c r="I19" s="117"/>
      <c r="J19" s="13">
        <f>((5786159*0.907185)*36.744)/1000000</f>
        <v>192.87354227633676</v>
      </c>
      <c r="K19" s="40"/>
      <c r="L19" s="6">
        <f>(3184420.8*36.744)/1000000</f>
        <v>117.00835787519999</v>
      </c>
      <c r="M19" s="6"/>
      <c r="N19" s="13"/>
      <c r="Q19" s="124"/>
    </row>
    <row r="20" spans="1:17" ht="16.5" customHeight="1">
      <c r="A20" s="17" t="s">
        <v>47</v>
      </c>
      <c r="B20" s="117"/>
      <c r="C20" s="117"/>
      <c r="D20" s="124"/>
      <c r="E20" s="41"/>
      <c r="F20" s="41"/>
      <c r="G20" s="6">
        <f>(49190.6*36.744)/1000000</f>
        <v>1.8074594064</v>
      </c>
      <c r="H20" s="13"/>
      <c r="I20" s="117"/>
      <c r="J20" s="13">
        <f>((5426712*0.907185)*36.744)/1000000</f>
        <v>180.89187772985568</v>
      </c>
      <c r="K20" s="40"/>
      <c r="L20" s="6">
        <f>(3657248.5*36.744)/1000000</f>
        <v>134.38193888399999</v>
      </c>
      <c r="M20" s="6"/>
      <c r="N20" s="13"/>
      <c r="Q20" s="124"/>
    </row>
    <row r="21" spans="1:17" ht="16.5" customHeight="1">
      <c r="A21" s="17" t="s">
        <v>48</v>
      </c>
      <c r="B21" s="117"/>
      <c r="C21" s="117"/>
      <c r="D21" s="124"/>
      <c r="E21" s="41"/>
      <c r="F21" s="41"/>
      <c r="G21" s="6">
        <f>(30553.6*36.744)/1000000</f>
        <v>1.1226614784</v>
      </c>
      <c r="H21" s="13"/>
      <c r="I21" s="117"/>
      <c r="J21" s="13">
        <f>((5427160*0.907185)*36.744)/1000000</f>
        <v>180.90681118518239</v>
      </c>
      <c r="K21" s="40"/>
      <c r="L21" s="6">
        <f>(2413962.6*36.744)/1000000</f>
        <v>88.698641774400002</v>
      </c>
      <c r="M21" s="6"/>
      <c r="N21" s="13"/>
      <c r="Q21" s="124"/>
    </row>
    <row r="22" spans="1:17" ht="16.5" customHeight="1">
      <c r="A22" s="17" t="s">
        <v>49</v>
      </c>
      <c r="B22" s="117"/>
      <c r="C22" s="117"/>
      <c r="E22" s="41">
        <f>N18</f>
        <v>1931.817</v>
      </c>
      <c r="F22" s="41"/>
      <c r="G22" s="6">
        <f>SUM(G19:G21)</f>
        <v>4.1671407144000003</v>
      </c>
      <c r="H22" s="13">
        <f>E22+F22+G22</f>
        <v>1935.9841407143999</v>
      </c>
      <c r="I22" s="117"/>
      <c r="J22" s="13">
        <f>SUM(J19:J21)</f>
        <v>554.67223119137486</v>
      </c>
      <c r="K22" s="40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7" t="s">
        <v>50</v>
      </c>
      <c r="B23" s="117"/>
      <c r="C23" s="117"/>
      <c r="D23"/>
      <c r="E23" s="41"/>
      <c r="F23" s="41"/>
      <c r="G23" s="6">
        <f>(21134.8*36.744)/1000000</f>
        <v>0.77657709120000007</v>
      </c>
      <c r="H23" s="13"/>
      <c r="I23" s="117"/>
      <c r="J23" s="13">
        <f>((5222412*0.907185)*36.744)/1000000</f>
        <v>174.08182209760369</v>
      </c>
      <c r="K23" s="40"/>
      <c r="L23" s="6">
        <f>(2271040.2*36.744)/1000000</f>
        <v>83.447101108800013</v>
      </c>
      <c r="M23" s="6"/>
      <c r="N23" s="13"/>
      <c r="Q23"/>
    </row>
    <row r="24" spans="1:17" ht="16.5" customHeight="1">
      <c r="A24" s="17" t="s">
        <v>51</v>
      </c>
      <c r="B24" s="117"/>
      <c r="C24" s="117"/>
      <c r="D24"/>
      <c r="E24" s="41"/>
      <c r="F24" s="41"/>
      <c r="G24" s="6">
        <f>(60079*36.744)/1000000</f>
        <v>2.2075427759999999</v>
      </c>
      <c r="H24" s="13"/>
      <c r="I24" s="117"/>
      <c r="J24" s="13">
        <f>((5441780*0.907185)*36.744)/1000000</f>
        <v>181.39414849963919</v>
      </c>
      <c r="K24" s="40"/>
      <c r="L24" s="6">
        <f>(2323087.5*36.744)/1000000</f>
        <v>85.359527099999994</v>
      </c>
      <c r="M24" s="6"/>
      <c r="N24" s="13"/>
      <c r="Q24"/>
    </row>
    <row r="25" spans="1:17" ht="16.5" customHeight="1">
      <c r="A25" s="17" t="s">
        <v>52</v>
      </c>
      <c r="B25" s="117"/>
      <c r="C25" s="117"/>
      <c r="D25"/>
      <c r="E25" s="41"/>
      <c r="F25" s="41"/>
      <c r="G25" s="6">
        <f>(60683.8*36.744)/1000000</f>
        <v>2.2297655472</v>
      </c>
      <c r="H25" s="13"/>
      <c r="I25" s="117"/>
      <c r="J25" s="13">
        <f>((5252619*0.907185)*36.744)/1000000</f>
        <v>175.08873032317118</v>
      </c>
      <c r="K25" s="40"/>
      <c r="L25" s="6">
        <f>(3317459.2*36.744)/1000000</f>
        <v>121.89672084480002</v>
      </c>
      <c r="M25" s="6"/>
      <c r="N25" s="13"/>
      <c r="Q25"/>
    </row>
    <row r="26" spans="1:17" ht="16.5" customHeight="1">
      <c r="A26" s="17" t="s">
        <v>53</v>
      </c>
      <c r="B26" s="117"/>
      <c r="C26" s="117"/>
      <c r="D26"/>
      <c r="E26" s="41">
        <f>N22</f>
        <v>967.52499999999998</v>
      </c>
      <c r="F26" s="41"/>
      <c r="G26" s="6">
        <f>SUM(G23:G25)</f>
        <v>5.2138854144</v>
      </c>
      <c r="H26" s="13">
        <f>E26+F26+G26</f>
        <v>972.73888541439999</v>
      </c>
      <c r="I26" s="117"/>
      <c r="J26" s="13">
        <f>SUM(J23:J25)</f>
        <v>530.564700920414</v>
      </c>
      <c r="K26" s="40">
        <f>M26-L26-J26</f>
        <v>-122.92316455961407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  <c r="Q26"/>
    </row>
    <row r="27" spans="1:17" ht="16.5" customHeight="1">
      <c r="A27" s="21" t="s">
        <v>28</v>
      </c>
      <c r="B27" s="117"/>
      <c r="C27" s="117"/>
      <c r="D27" s="117"/>
      <c r="E27" s="41"/>
      <c r="F27" s="41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17"/>
      <c r="J27" s="13">
        <f>SUM(J14,J18,J22,J26)</f>
        <v>2203.8901705391709</v>
      </c>
      <c r="K27" s="40">
        <f>SUM(K14,K18,K22,K26)</f>
        <v>102.34031607682891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21"/>
      <c r="B28" s="117"/>
      <c r="C28" s="117"/>
      <c r="D28" s="117"/>
      <c r="E28" s="41"/>
      <c r="F28" s="41"/>
      <c r="G28" s="6"/>
      <c r="H28" s="13"/>
      <c r="I28" s="117"/>
      <c r="J28" s="13"/>
      <c r="K28" s="40"/>
      <c r="L28" s="6"/>
      <c r="M28" s="6"/>
      <c r="N28" s="13"/>
    </row>
    <row r="29" spans="1:17" ht="16.5" customHeight="1">
      <c r="A29" s="51" t="s">
        <v>54</v>
      </c>
      <c r="B29" s="117"/>
      <c r="C29" s="117"/>
      <c r="D29" s="117"/>
      <c r="E29" s="41"/>
      <c r="F29" s="41"/>
      <c r="G29" s="6"/>
      <c r="H29" s="13"/>
      <c r="I29" s="117"/>
      <c r="J29" s="13"/>
      <c r="K29" s="40"/>
      <c r="L29" s="6"/>
      <c r="M29" s="6"/>
      <c r="N29" s="13"/>
    </row>
    <row r="30" spans="1:17" ht="16.5" customHeight="1">
      <c r="A30" s="21" t="s">
        <v>38</v>
      </c>
      <c r="B30" s="117"/>
      <c r="C30" s="117"/>
      <c r="D30" s="117"/>
      <c r="E30" s="41"/>
      <c r="F30" s="41"/>
      <c r="G30" s="6">
        <f>(31760.9*36.744)/1000000</f>
        <v>1.1670225096</v>
      </c>
      <c r="H30" s="13"/>
      <c r="I30" s="117"/>
      <c r="J30" s="13">
        <f>((5028287*0.907185)*36.744)/1000000</f>
        <v>167.6109359027387</v>
      </c>
      <c r="K30" s="40"/>
      <c r="L30" s="6">
        <f>(2122949.2*36.744)/1000000</f>
        <v>78.005645404800006</v>
      </c>
      <c r="M30" s="6"/>
      <c r="N30" s="13"/>
    </row>
    <row r="31" spans="1:17" ht="16.5" customHeight="1">
      <c r="A31" s="21" t="s">
        <v>39</v>
      </c>
      <c r="B31" s="117"/>
      <c r="C31" s="117"/>
      <c r="D31" s="117"/>
      <c r="E31" s="41"/>
      <c r="F31" s="41"/>
      <c r="G31" s="6">
        <f>(33846.3*36.744)/1000000</f>
        <v>1.2436484472</v>
      </c>
      <c r="H31" s="13"/>
      <c r="I31" s="117"/>
      <c r="J31" s="13">
        <f>((5899694*0.907185)*36.744)/1000000</f>
        <v>196.65807319267415</v>
      </c>
      <c r="K31" s="40"/>
      <c r="L31" s="6">
        <f>(9780846.5*36.744)/1000000</f>
        <v>359.38742379600001</v>
      </c>
      <c r="M31" s="6"/>
      <c r="N31" s="13"/>
    </row>
    <row r="32" spans="1:17" ht="16.5" customHeight="1">
      <c r="A32" s="21" t="s">
        <v>40</v>
      </c>
      <c r="B32" s="117"/>
      <c r="C32" s="117"/>
      <c r="D32" s="117"/>
      <c r="E32" s="41"/>
      <c r="F32" s="41"/>
      <c r="G32" s="6">
        <f>(34971.9*36.744)/1000000</f>
        <v>1.2850074936000002</v>
      </c>
      <c r="H32" s="13"/>
      <c r="I32" s="117"/>
      <c r="J32" s="13">
        <f>((5687098*0.907185)*36.744)/1000000</f>
        <v>189.57148196803271</v>
      </c>
      <c r="K32" s="40"/>
      <c r="L32" s="6">
        <f>(9667590.7*36.744)/1000000</f>
        <v>355.22595268079994</v>
      </c>
      <c r="M32" s="6"/>
      <c r="N32" s="13"/>
    </row>
    <row r="33" spans="1:73" ht="16.5" customHeight="1">
      <c r="A33" s="21" t="s">
        <v>41</v>
      </c>
      <c r="B33" s="117"/>
      <c r="C33" s="117"/>
      <c r="D33" s="117"/>
      <c r="E33" s="41">
        <f>N26</f>
        <v>274.39400000000001</v>
      </c>
      <c r="F33" s="134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17"/>
      <c r="J33" s="13">
        <f>SUM(J30:J32)</f>
        <v>553.8404910634456</v>
      </c>
      <c r="K33" s="40">
        <f>M33-L33-J33</f>
        <v>185.70916550535435</v>
      </c>
      <c r="L33" s="6">
        <f>SUM(L30:L32)</f>
        <v>792.61902188160002</v>
      </c>
      <c r="M33" s="6">
        <f>H33-N33</f>
        <v>1532.1686784504</v>
      </c>
      <c r="N33" s="13">
        <f>3022.044</f>
        <v>3022.0439999999999</v>
      </c>
    </row>
    <row r="34" spans="1:73" ht="16.5" customHeight="1">
      <c r="A34" s="17" t="s">
        <v>42</v>
      </c>
      <c r="B34" s="117"/>
      <c r="C34" s="117"/>
      <c r="D34" s="117"/>
      <c r="E34" s="41"/>
      <c r="F34" s="134"/>
      <c r="G34" s="6">
        <f>(36103.7*36.744)/1000000</f>
        <v>1.3265943527999999</v>
      </c>
      <c r="H34" s="13"/>
      <c r="I34" s="117"/>
      <c r="J34" s="13">
        <f>((5622561*0.907185)*36.744)/1000000</f>
        <v>187.42023106084403</v>
      </c>
      <c r="K34" s="40"/>
      <c r="L34" s="6">
        <f>(8294601.8*36.744)/1000000</f>
        <v>304.77684853919999</v>
      </c>
      <c r="M34" s="6"/>
      <c r="N34" s="13"/>
    </row>
    <row r="35" spans="1:73" ht="16.5" customHeight="1">
      <c r="A35" s="17" t="s">
        <v>43</v>
      </c>
      <c r="B35" s="117"/>
      <c r="C35" s="117"/>
      <c r="D35" s="117"/>
      <c r="E35" s="41"/>
      <c r="F35" s="134"/>
      <c r="G35" s="6">
        <f>(5893.9*36.744)/1000000</f>
        <v>0.21656546159999998</v>
      </c>
      <c r="H35" s="13"/>
      <c r="I35" s="117"/>
      <c r="J35" s="13">
        <f>((5734398*0.907185)*36.744)/1000000</f>
        <v>191.14816151480471</v>
      </c>
      <c r="K35" s="40"/>
      <c r="L35" s="6">
        <f>(8559125.5*36.744)/1000000</f>
        <v>314.496507372</v>
      </c>
      <c r="M35" s="6"/>
      <c r="N35" s="13"/>
    </row>
    <row r="36" spans="1:73" ht="16.5" customHeight="1">
      <c r="A36" s="17" t="s">
        <v>28</v>
      </c>
      <c r="B36" s="117"/>
      <c r="C36" s="117"/>
      <c r="D36" s="117"/>
      <c r="E36" s="41"/>
      <c r="F36" s="134"/>
      <c r="G36" s="6">
        <f>SUM(G33:G35)</f>
        <v>5.2388382648</v>
      </c>
      <c r="H36" s="13"/>
      <c r="I36" s="117"/>
      <c r="J36" s="13">
        <f>SUM(J33:J35)</f>
        <v>932.40888363909426</v>
      </c>
      <c r="K36" s="40"/>
      <c r="L36" s="6">
        <f>SUM(L33:L35)</f>
        <v>1411.8923777928001</v>
      </c>
      <c r="M36" s="6"/>
      <c r="N36" s="13"/>
    </row>
    <row r="37" spans="1:73" ht="16.5" customHeight="1">
      <c r="A37" s="111" t="s">
        <v>55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112"/>
      <c r="M37" s="90"/>
      <c r="N37" s="90"/>
    </row>
    <row r="38" spans="1:73" ht="16.5" customHeight="1">
      <c r="A38" s="17" t="s">
        <v>56</v>
      </c>
      <c r="B38" s="17"/>
      <c r="C38" s="17"/>
      <c r="D38" s="17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73" ht="16.5" customHeight="1">
      <c r="A39" s="23" t="s">
        <v>57</v>
      </c>
      <c r="B39" s="46">
        <f>Contents!A16</f>
        <v>44995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18"/>
      <c r="P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>
      <c r="O40" s="118"/>
      <c r="P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>
      <c r="O41" s="118"/>
      <c r="P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>
      <c r="O42" s="118"/>
      <c r="P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>
      <c r="F43" s="47"/>
      <c r="O43" s="118"/>
      <c r="P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</row>
    <row r="44" spans="1:73">
      <c r="O44" s="118"/>
      <c r="P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</row>
    <row r="45" spans="1:73">
      <c r="O45" s="118"/>
      <c r="P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</row>
    <row r="46" spans="1:73">
      <c r="O46" s="118"/>
      <c r="P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</row>
    <row r="47" spans="1:73">
      <c r="O47" s="118"/>
      <c r="P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</row>
    <row r="48" spans="1:73">
      <c r="O48" s="118"/>
      <c r="P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</row>
    <row r="49" spans="15:73">
      <c r="O49" s="118"/>
      <c r="P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</row>
    <row r="50" spans="15:73">
      <c r="O50" s="118"/>
      <c r="P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</row>
    <row r="51" spans="15:73">
      <c r="O51" s="118"/>
      <c r="P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</row>
    <row r="52" spans="15:73">
      <c r="O52" s="118"/>
      <c r="P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</row>
    <row r="53" spans="15:73">
      <c r="O53" s="118"/>
      <c r="P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</row>
    <row r="54" spans="15:73">
      <c r="O54" s="118"/>
      <c r="P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</row>
    <row r="55" spans="15:73">
      <c r="O55" s="118"/>
      <c r="P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</row>
    <row r="56" spans="15:73">
      <c r="O56" s="118"/>
      <c r="P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</row>
    <row r="57" spans="15:73">
      <c r="O57" s="118"/>
      <c r="P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</row>
    <row r="58" spans="15:73">
      <c r="O58" s="118"/>
      <c r="P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</row>
    <row r="59" spans="15:73">
      <c r="O59" s="118"/>
      <c r="P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</row>
    <row r="60" spans="15:73">
      <c r="O60" s="118"/>
      <c r="P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</row>
    <row r="61" spans="15:73">
      <c r="O61" s="118"/>
      <c r="P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</row>
    <row r="62" spans="15:73">
      <c r="O62" s="118"/>
      <c r="P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</row>
    <row r="63" spans="15:73">
      <c r="O63" s="118"/>
      <c r="P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</row>
    <row r="64" spans="15:73">
      <c r="O64" s="118"/>
      <c r="P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</row>
    <row r="65" spans="15:73">
      <c r="O65" s="118"/>
      <c r="P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</row>
    <row r="66" spans="15:73">
      <c r="O66" s="118"/>
      <c r="P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</row>
    <row r="67" spans="15:73"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</row>
    <row r="68" spans="15:73"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</row>
    <row r="69" spans="15:73"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</row>
    <row r="70" spans="15:73"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</row>
    <row r="71" spans="15:73"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</row>
    <row r="72" spans="15:73"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</row>
    <row r="73" spans="15:73"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</row>
    <row r="74" spans="15:73"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</row>
    <row r="75" spans="15:73"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</row>
    <row r="76" spans="15:73"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</row>
    <row r="77" spans="15:73"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</row>
    <row r="78" spans="15:73"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</row>
    <row r="79" spans="15:73"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</row>
    <row r="80" spans="15:73"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</row>
    <row r="81" spans="15:73"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</row>
    <row r="82" spans="15:73"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</row>
    <row r="83" spans="15:73"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</row>
    <row r="84" spans="15:73"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</row>
    <row r="85" spans="15:73"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</row>
    <row r="86" spans="15:73"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</row>
    <row r="87" spans="15:73"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</row>
    <row r="88" spans="15:73"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</row>
    <row r="89" spans="15:73"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</row>
    <row r="90" spans="15:73"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</row>
    <row r="91" spans="15:73"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</row>
    <row r="92" spans="15:73"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</row>
    <row r="93" spans="15:73"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</row>
    <row r="94" spans="15:73"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</row>
    <row r="95" spans="15:73"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</row>
    <row r="96" spans="15:73"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</row>
    <row r="97" spans="15:73"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</row>
    <row r="98" spans="15:73"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</row>
    <row r="99" spans="15:73"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</row>
    <row r="100" spans="15:73"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</row>
    <row r="101" spans="15:73"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</row>
    <row r="102" spans="15:73"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</row>
    <row r="103" spans="15:73"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</row>
    <row r="104" spans="15:73"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</row>
    <row r="105" spans="15:73"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</row>
    <row r="106" spans="15:73"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</row>
    <row r="107" spans="15:73"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</row>
    <row r="108" spans="15:73"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</row>
    <row r="109" spans="15:73"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</row>
    <row r="110" spans="15:73"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</row>
    <row r="111" spans="15:73"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</row>
    <row r="112" spans="15:73"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</row>
    <row r="113" spans="15:73"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</row>
    <row r="114" spans="15:73"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</row>
    <row r="115" spans="15:73"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</row>
    <row r="116" spans="15:73"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</row>
    <row r="117" spans="15:73"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</row>
    <row r="118" spans="15:73"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</row>
    <row r="119" spans="15:73"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</row>
    <row r="120" spans="15:73"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</row>
    <row r="121" spans="15:73"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</row>
    <row r="122" spans="15:73"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</row>
    <row r="123" spans="15:73"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</row>
    <row r="124" spans="15:73"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</row>
    <row r="125" spans="15:73"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</row>
    <row r="126" spans="15:73"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</row>
    <row r="127" spans="15:73"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</row>
    <row r="128" spans="15:73"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</row>
    <row r="129" spans="15:73"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</row>
    <row r="130" spans="15:73"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</row>
    <row r="131" spans="15:73"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</row>
    <row r="132" spans="15:73"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</row>
    <row r="133" spans="15:73"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</row>
    <row r="134" spans="15:73"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</row>
    <row r="135" spans="15:73"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</row>
    <row r="136" spans="15:73"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</row>
    <row r="137" spans="15:73"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</row>
    <row r="138" spans="15:73"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</row>
    <row r="139" spans="15:73"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</row>
    <row r="140" spans="15:73"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</row>
    <row r="141" spans="15:73"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</row>
    <row r="142" spans="15:73"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</row>
    <row r="143" spans="15:73"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</row>
    <row r="144" spans="15:73"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</row>
    <row r="145" spans="15:73"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</row>
    <row r="146" spans="15:73"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</row>
    <row r="147" spans="15:73"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</row>
    <row r="148" spans="15:73"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</row>
    <row r="149" spans="15:73"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</row>
    <row r="150" spans="15:73"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</row>
    <row r="151" spans="15:73"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</row>
    <row r="152" spans="15:73"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</row>
    <row r="153" spans="15:73"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</row>
    <row r="154" spans="15:73"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</row>
    <row r="155" spans="15:73"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</row>
    <row r="156" spans="15:73"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</row>
    <row r="157" spans="15:73"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</row>
    <row r="158" spans="15:73"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</row>
    <row r="159" spans="15:73"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</row>
    <row r="160" spans="15:73"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</row>
    <row r="161" spans="15:73"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</row>
    <row r="162" spans="15:73"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</row>
    <row r="163" spans="15:73"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</row>
    <row r="164" spans="15:73"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</row>
    <row r="165" spans="15:73"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</row>
    <row r="166" spans="15:73"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</row>
    <row r="167" spans="15:73"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</row>
    <row r="168" spans="15:73"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</row>
    <row r="169" spans="15:73"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</row>
    <row r="170" spans="15:73"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</row>
    <row r="171" spans="15:73"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</row>
    <row r="172" spans="15:73"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</row>
    <row r="173" spans="15:73"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</row>
    <row r="174" spans="15:73"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</row>
    <row r="175" spans="15:73"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</row>
    <row r="176" spans="15:73"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</row>
    <row r="177" spans="15:73"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</row>
    <row r="178" spans="15:73"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</row>
    <row r="179" spans="15:73"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</row>
    <row r="180" spans="15:73"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</row>
    <row r="181" spans="15:73"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</row>
    <row r="182" spans="15:73"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</row>
    <row r="183" spans="15:73"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</row>
    <row r="184" spans="15:73"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</row>
    <row r="185" spans="15:73"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</row>
    <row r="186" spans="15:73"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  <c r="BU186" s="118"/>
    </row>
    <row r="187" spans="15:73"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  <c r="BU187" s="118"/>
    </row>
    <row r="188" spans="15:73"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18"/>
    </row>
    <row r="189" spans="15:73"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  <c r="BU189" s="118"/>
    </row>
    <row r="190" spans="15:73"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  <c r="BU190" s="118"/>
    </row>
    <row r="191" spans="15:73"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  <c r="BU191" s="118"/>
    </row>
    <row r="192" spans="15:73"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</row>
    <row r="193" spans="15:73"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</row>
    <row r="194" spans="15:73"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</row>
    <row r="195" spans="15:73"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</row>
    <row r="196" spans="15:73"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</row>
    <row r="197" spans="15:73"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</row>
    <row r="198" spans="15:73"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</row>
    <row r="199" spans="15:73"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</row>
    <row r="200" spans="15:73"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  <c r="BU200" s="118"/>
    </row>
    <row r="201" spans="15:73"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</row>
    <row r="202" spans="15:73"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</row>
    <row r="203" spans="15:73"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</row>
    <row r="204" spans="15:73"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</row>
    <row r="205" spans="15:73"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</row>
    <row r="206" spans="15:73"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</row>
    <row r="207" spans="15:73"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</row>
    <row r="208" spans="15:73"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</row>
    <row r="209" spans="15:73"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</row>
    <row r="210" spans="15:73"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</row>
    <row r="211" spans="15:73"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</row>
    <row r="212" spans="15:73"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</row>
    <row r="213" spans="15:73"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</row>
    <row r="214" spans="15:73"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</row>
    <row r="215" spans="15:73"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</row>
    <row r="216" spans="15:73"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</row>
    <row r="217" spans="15:73"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</row>
    <row r="218" spans="15:73"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</row>
    <row r="219" spans="15:73"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</row>
    <row r="220" spans="15:73"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</row>
    <row r="221" spans="15:73"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</row>
    <row r="222" spans="15:73"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</row>
    <row r="223" spans="15:73"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</row>
    <row r="224" spans="15:73"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</row>
    <row r="225" spans="15:73"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</row>
    <row r="226" spans="15:73"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</row>
    <row r="227" spans="15:73"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</row>
    <row r="228" spans="15:73"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</row>
    <row r="229" spans="15:73"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</row>
    <row r="230" spans="15:73"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</row>
    <row r="231" spans="15:73"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</row>
    <row r="232" spans="15:73"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</row>
    <row r="233" spans="15:73"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</row>
    <row r="234" spans="15:73"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</row>
    <row r="235" spans="15:73"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</row>
    <row r="236" spans="15:73"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</row>
    <row r="237" spans="15:73"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</row>
    <row r="238" spans="15:73"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</row>
    <row r="239" spans="15:73"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</row>
    <row r="240" spans="15:73"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</row>
    <row r="241" spans="15:73"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</row>
    <row r="242" spans="15:73"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</row>
    <row r="243" spans="15:73"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</row>
    <row r="244" spans="15:73"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</row>
    <row r="245" spans="15:73"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</row>
    <row r="246" spans="15:73"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</row>
    <row r="247" spans="15:73"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</row>
    <row r="248" spans="15:73"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</row>
    <row r="249" spans="15:73"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</row>
    <row r="250" spans="15:73"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</row>
    <row r="251" spans="15:73"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</row>
    <row r="252" spans="15:73"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</row>
    <row r="253" spans="15:73"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</row>
    <row r="254" spans="15:73"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</row>
    <row r="255" spans="15:73"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</row>
    <row r="256" spans="15:73"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</row>
    <row r="257" spans="15:73"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</row>
    <row r="258" spans="15:73"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</row>
    <row r="259" spans="15:73"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</row>
    <row r="260" spans="15:73"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</row>
    <row r="261" spans="15:73"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</row>
    <row r="262" spans="15:73"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</row>
    <row r="263" spans="15:73"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</row>
    <row r="264" spans="15:73"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</row>
    <row r="265" spans="15:73"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</row>
    <row r="266" spans="15:73"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</row>
    <row r="267" spans="15:73"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</row>
    <row r="268" spans="15:73"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</row>
    <row r="269" spans="15:73"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</row>
    <row r="270" spans="15:73"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</row>
    <row r="271" spans="15:73"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</row>
    <row r="272" spans="15:73"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</row>
    <row r="273" spans="15:73"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</row>
    <row r="274" spans="15:73"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</row>
    <row r="275" spans="15:73"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</row>
    <row r="276" spans="15:73"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</row>
    <row r="277" spans="15:73"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</row>
    <row r="278" spans="15:73"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</row>
    <row r="279" spans="15:73"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</row>
    <row r="280" spans="15:73"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</row>
    <row r="281" spans="15:73"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</row>
    <row r="282" spans="15:73"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</row>
    <row r="283" spans="15:73"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</row>
    <row r="284" spans="15:73"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</row>
    <row r="285" spans="15:73"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</row>
    <row r="286" spans="15:73"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</row>
    <row r="287" spans="15:73"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</row>
    <row r="288" spans="15:73"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</row>
    <row r="289" spans="15:73"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</row>
    <row r="290" spans="15:73"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</row>
    <row r="291" spans="15:73"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</row>
    <row r="292" spans="15:73"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</row>
    <row r="293" spans="15:73"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</row>
    <row r="294" spans="15:73"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</row>
    <row r="295" spans="15:73"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</row>
    <row r="296" spans="15:73"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</row>
    <row r="297" spans="15:73"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</row>
    <row r="298" spans="15:73"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</row>
    <row r="299" spans="15:73"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</row>
    <row r="300" spans="15:73"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</row>
    <row r="301" spans="15:73"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</row>
    <row r="302" spans="15:73"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</row>
    <row r="303" spans="15:73"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</row>
    <row r="304" spans="15:73"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</row>
    <row r="305" spans="15:73"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</row>
    <row r="306" spans="15:73"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</row>
    <row r="307" spans="15:73"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</row>
    <row r="308" spans="15:73"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</row>
    <row r="309" spans="15:73"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</row>
    <row r="310" spans="15:73"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</row>
    <row r="311" spans="15:73"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</row>
    <row r="312" spans="15:73"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</row>
    <row r="313" spans="15:73"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</row>
    <row r="314" spans="15:73"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</row>
    <row r="315" spans="15:73"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</row>
    <row r="316" spans="15:73"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</row>
    <row r="317" spans="15:73"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</row>
    <row r="318" spans="15:73"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</row>
    <row r="319" spans="15:73"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</row>
    <row r="320" spans="15:73"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</row>
    <row r="321" spans="15:73"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</row>
    <row r="322" spans="15:73"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</row>
    <row r="323" spans="15:73"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</row>
    <row r="324" spans="15:73"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</row>
    <row r="325" spans="15:73"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</row>
    <row r="326" spans="15:73"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</row>
    <row r="327" spans="15:73"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</row>
    <row r="328" spans="15:73"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</row>
    <row r="329" spans="15:73"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</row>
    <row r="330" spans="15:73"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</row>
    <row r="331" spans="15:73"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</row>
    <row r="332" spans="15:73"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</row>
    <row r="333" spans="15:73"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</row>
    <row r="334" spans="15:73"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</row>
    <row r="335" spans="15:73"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</row>
    <row r="336" spans="15:73"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</row>
    <row r="337" spans="15:73"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</row>
    <row r="338" spans="15:73"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</row>
    <row r="339" spans="15:73"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</row>
    <row r="340" spans="15:73"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</row>
    <row r="341" spans="15:73"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</row>
    <row r="342" spans="15:73"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</row>
    <row r="343" spans="15:73"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8"/>
      <c r="BS343" s="118"/>
      <c r="BT343" s="118"/>
      <c r="BU343" s="118"/>
    </row>
    <row r="344" spans="15:73"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  <c r="BS344" s="118"/>
      <c r="BT344" s="118"/>
      <c r="BU344" s="118"/>
    </row>
    <row r="345" spans="15:73"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8"/>
      <c r="BS345" s="118"/>
      <c r="BT345" s="118"/>
      <c r="BU345" s="118"/>
    </row>
    <row r="346" spans="15:73"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8"/>
      <c r="BS346" s="118"/>
      <c r="BT346" s="118"/>
      <c r="BU346" s="118"/>
    </row>
    <row r="347" spans="15:73"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8"/>
      <c r="BS347" s="118"/>
      <c r="BT347" s="118"/>
      <c r="BU347" s="118"/>
    </row>
    <row r="348" spans="15:73"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</row>
    <row r="349" spans="15:73"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8"/>
      <c r="BS349" s="118"/>
      <c r="BT349" s="118"/>
      <c r="BU349" s="118"/>
    </row>
    <row r="350" spans="15:73"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8"/>
      <c r="BS350" s="118"/>
      <c r="BT350" s="118"/>
      <c r="BU350" s="118"/>
    </row>
    <row r="351" spans="15:73"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</row>
    <row r="352" spans="15:73"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</row>
    <row r="353" spans="15:73"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8"/>
      <c r="BS353" s="118"/>
      <c r="BT353" s="118"/>
      <c r="BU353" s="118"/>
    </row>
    <row r="354" spans="15:73"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8"/>
      <c r="BS354" s="118"/>
      <c r="BT354" s="118"/>
      <c r="BU354" s="118"/>
    </row>
    <row r="355" spans="15:73"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8"/>
      <c r="BS355" s="118"/>
      <c r="BT355" s="118"/>
      <c r="BU355" s="118"/>
    </row>
    <row r="356" spans="15:73"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8"/>
      <c r="BS356" s="118"/>
      <c r="BT356" s="118"/>
      <c r="BU356" s="118"/>
    </row>
    <row r="357" spans="15:73"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8"/>
      <c r="BS357" s="118"/>
      <c r="BT357" s="118"/>
      <c r="BU357" s="118"/>
    </row>
    <row r="358" spans="15:73"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8"/>
      <c r="BS358" s="118"/>
      <c r="BT358" s="118"/>
      <c r="BU358" s="118"/>
    </row>
    <row r="359" spans="15:73"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8"/>
      <c r="BS359" s="118"/>
      <c r="BT359" s="118"/>
      <c r="BU359" s="118"/>
    </row>
    <row r="360" spans="15:73"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8"/>
      <c r="BS360" s="118"/>
      <c r="BT360" s="118"/>
      <c r="BU360" s="118"/>
    </row>
    <row r="361" spans="15:73"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8"/>
      <c r="BS361" s="118"/>
      <c r="BT361" s="118"/>
      <c r="BU361" s="118"/>
    </row>
    <row r="362" spans="15:73"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BS362" s="118"/>
      <c r="BT362" s="118"/>
      <c r="BU362" s="118"/>
    </row>
    <row r="363" spans="15:73"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  <c r="BB363" s="118"/>
      <c r="BC363" s="118"/>
      <c r="BD363" s="118"/>
      <c r="BE363" s="118"/>
      <c r="BF363" s="118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8"/>
      <c r="BS363" s="118"/>
      <c r="BT363" s="118"/>
      <c r="BU363" s="118"/>
    </row>
    <row r="364" spans="15:73"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8"/>
      <c r="BS364" s="118"/>
      <c r="BT364" s="118"/>
      <c r="BU364" s="118"/>
    </row>
    <row r="365" spans="15:73"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  <c r="BB365" s="118"/>
      <c r="BC365" s="118"/>
      <c r="BD365" s="118"/>
      <c r="BE365" s="118"/>
      <c r="BF365" s="118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8"/>
      <c r="BS365" s="118"/>
      <c r="BT365" s="118"/>
      <c r="BU365" s="118"/>
    </row>
    <row r="366" spans="15:73"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  <c r="BJ366" s="118"/>
      <c r="BK366" s="118"/>
      <c r="BL366" s="118"/>
      <c r="BM366" s="118"/>
      <c r="BN366" s="118"/>
      <c r="BO366" s="118"/>
      <c r="BP366" s="118"/>
      <c r="BQ366" s="118"/>
      <c r="BR366" s="118"/>
      <c r="BS366" s="118"/>
      <c r="BT366" s="118"/>
      <c r="BU366" s="118"/>
    </row>
    <row r="367" spans="15:73"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8"/>
      <c r="BS367" s="118"/>
      <c r="BT367" s="118"/>
      <c r="BU367" s="118"/>
    </row>
    <row r="368" spans="15:73"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8"/>
      <c r="BS368" s="118"/>
      <c r="BT368" s="118"/>
      <c r="BU368" s="118"/>
    </row>
    <row r="369" spans="15:73"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  <c r="BB369" s="118"/>
      <c r="BC369" s="118"/>
      <c r="BD369" s="118"/>
      <c r="BE369" s="118"/>
      <c r="BF369" s="118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8"/>
      <c r="BS369" s="118"/>
      <c r="BT369" s="118"/>
      <c r="BU369" s="118"/>
    </row>
    <row r="370" spans="15:73"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  <c r="BB370" s="118"/>
      <c r="BC370" s="118"/>
      <c r="BD370" s="118"/>
      <c r="BE370" s="118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  <c r="BT370" s="118"/>
      <c r="BU370" s="118"/>
    </row>
    <row r="371" spans="15:73"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  <c r="BS371" s="118"/>
      <c r="BT371" s="118"/>
      <c r="BU371" s="118"/>
    </row>
    <row r="372" spans="15:73"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  <c r="BB372" s="118"/>
      <c r="BC372" s="118"/>
      <c r="BD372" s="118"/>
      <c r="BE372" s="118"/>
      <c r="BF372" s="118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8"/>
      <c r="BS372" s="118"/>
      <c r="BT372" s="118"/>
      <c r="BU372" s="118"/>
    </row>
    <row r="373" spans="15:73"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  <c r="BB373" s="118"/>
      <c r="BC373" s="118"/>
      <c r="BD373" s="118"/>
      <c r="BE373" s="118"/>
      <c r="BF373" s="118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8"/>
      <c r="BS373" s="118"/>
      <c r="BT373" s="118"/>
      <c r="BU373" s="118"/>
    </row>
    <row r="374" spans="15:73"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</row>
    <row r="375" spans="15:73"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</row>
    <row r="376" spans="15:73"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  <c r="BS376" s="118"/>
      <c r="BT376" s="118"/>
      <c r="BU376" s="118"/>
    </row>
    <row r="377" spans="15:73"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8"/>
      <c r="BS377" s="118"/>
      <c r="BT377" s="118"/>
      <c r="BU377" s="118"/>
    </row>
    <row r="378" spans="15:73"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  <c r="BB378" s="118"/>
      <c r="BC378" s="118"/>
      <c r="BD378" s="118"/>
      <c r="BE378" s="118"/>
      <c r="BF378" s="118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8"/>
      <c r="BS378" s="118"/>
      <c r="BT378" s="118"/>
      <c r="BU378" s="118"/>
    </row>
    <row r="379" spans="15:73"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  <c r="BB379" s="118"/>
      <c r="BC379" s="118"/>
      <c r="BD379" s="118"/>
      <c r="BE379" s="118"/>
      <c r="BF379" s="118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8"/>
      <c r="BS379" s="118"/>
      <c r="BT379" s="118"/>
      <c r="BU379" s="118"/>
    </row>
    <row r="380" spans="15:73"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  <c r="BS380" s="118"/>
      <c r="BT380" s="118"/>
      <c r="BU380" s="118"/>
    </row>
    <row r="381" spans="15:73"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  <c r="BB381" s="118"/>
      <c r="BC381" s="118"/>
      <c r="BD381" s="118"/>
      <c r="BE381" s="118"/>
      <c r="BF381" s="118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8"/>
      <c r="BS381" s="118"/>
      <c r="BT381" s="118"/>
      <c r="BU381" s="118"/>
    </row>
    <row r="382" spans="15:73"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</row>
    <row r="383" spans="15:73"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8"/>
      <c r="BS383" s="118"/>
      <c r="BT383" s="118"/>
      <c r="BU383" s="118"/>
    </row>
    <row r="384" spans="15:73"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  <c r="BS384" s="118"/>
      <c r="BT384" s="118"/>
      <c r="BU384" s="118"/>
    </row>
    <row r="385" spans="15:73"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8"/>
      <c r="BS385" s="118"/>
      <c r="BT385" s="118"/>
      <c r="BU385" s="118"/>
    </row>
    <row r="386" spans="15:73"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  <c r="BB386" s="118"/>
      <c r="BC386" s="118"/>
      <c r="BD386" s="118"/>
      <c r="BE386" s="118"/>
      <c r="BF386" s="118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8"/>
      <c r="BS386" s="118"/>
      <c r="BT386" s="118"/>
      <c r="BU386" s="118"/>
    </row>
    <row r="387" spans="15:73"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8"/>
      <c r="BS387" s="118"/>
      <c r="BT387" s="118"/>
      <c r="BU387" s="118"/>
    </row>
    <row r="388" spans="15:73"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8"/>
      <c r="BS388" s="118"/>
      <c r="BT388" s="118"/>
      <c r="BU388" s="118"/>
    </row>
    <row r="389" spans="15:73"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8"/>
      <c r="BS389" s="118"/>
      <c r="BT389" s="118"/>
      <c r="BU389" s="118"/>
    </row>
    <row r="390" spans="15:73"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  <c r="BB390" s="118"/>
      <c r="BC390" s="118"/>
      <c r="BD390" s="118"/>
      <c r="BE390" s="118"/>
      <c r="BF390" s="118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8"/>
      <c r="BS390" s="118"/>
      <c r="BT390" s="118"/>
      <c r="BU390" s="118"/>
    </row>
    <row r="391" spans="15:73"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  <c r="BB391" s="118"/>
      <c r="BC391" s="118"/>
      <c r="BD391" s="118"/>
      <c r="BE391" s="118"/>
      <c r="BF391" s="118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8"/>
      <c r="BS391" s="118"/>
      <c r="BT391" s="118"/>
      <c r="BU391" s="118"/>
    </row>
    <row r="392" spans="15:73"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8"/>
      <c r="BS392" s="118"/>
      <c r="BT392" s="118"/>
      <c r="BU392" s="118"/>
    </row>
    <row r="393" spans="15:73"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  <c r="BB393" s="118"/>
      <c r="BC393" s="118"/>
      <c r="BD393" s="118"/>
      <c r="BE393" s="118"/>
      <c r="BF393" s="118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8"/>
      <c r="BS393" s="118"/>
      <c r="BT393" s="118"/>
      <c r="BU393" s="118"/>
    </row>
    <row r="394" spans="15:73"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  <c r="BD394" s="118"/>
      <c r="BE394" s="118"/>
      <c r="BF394" s="118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8"/>
      <c r="BS394" s="118"/>
      <c r="BT394" s="118"/>
      <c r="BU394" s="118"/>
    </row>
    <row r="395" spans="15:73"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8"/>
      <c r="BS395" s="118"/>
      <c r="BT395" s="118"/>
      <c r="BU395" s="118"/>
    </row>
    <row r="396" spans="15:73"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8"/>
      <c r="BS396" s="118"/>
      <c r="BT396" s="118"/>
      <c r="BU396" s="118"/>
    </row>
    <row r="397" spans="15:73"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8"/>
      <c r="BS397" s="118"/>
      <c r="BT397" s="118"/>
      <c r="BU397" s="118"/>
    </row>
    <row r="398" spans="15:73"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  <c r="BB398" s="118"/>
      <c r="BC398" s="118"/>
      <c r="BD398" s="118"/>
      <c r="BE398" s="118"/>
      <c r="BF398" s="118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8"/>
      <c r="BS398" s="118"/>
      <c r="BT398" s="118"/>
      <c r="BU398" s="118"/>
    </row>
    <row r="399" spans="15:73"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  <c r="BB399" s="118"/>
      <c r="BC399" s="118"/>
      <c r="BD399" s="118"/>
      <c r="BE399" s="118"/>
      <c r="BF399" s="118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8"/>
      <c r="BS399" s="118"/>
      <c r="BT399" s="118"/>
      <c r="BU399" s="118"/>
    </row>
    <row r="400" spans="15:73"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8"/>
      <c r="BS400" s="118"/>
      <c r="BT400" s="118"/>
      <c r="BU400" s="118"/>
    </row>
    <row r="401" spans="15:73"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  <c r="BB401" s="118"/>
      <c r="BC401" s="118"/>
      <c r="BD401" s="118"/>
      <c r="BE401" s="118"/>
      <c r="BF401" s="118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8"/>
      <c r="BS401" s="118"/>
      <c r="BT401" s="118"/>
      <c r="BU401" s="118"/>
    </row>
    <row r="402" spans="15:73"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  <c r="BB402" s="118"/>
      <c r="BC402" s="118"/>
      <c r="BD402" s="118"/>
      <c r="BE402" s="118"/>
      <c r="BF402" s="118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8"/>
      <c r="BS402" s="118"/>
      <c r="BT402" s="118"/>
      <c r="BU402" s="118"/>
    </row>
    <row r="403" spans="15:73"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  <c r="BS403" s="118"/>
      <c r="BT403" s="118"/>
      <c r="BU403" s="118"/>
    </row>
    <row r="404" spans="15:73"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  <c r="BB404" s="118"/>
      <c r="BC404" s="118"/>
      <c r="BD404" s="118"/>
      <c r="BE404" s="118"/>
      <c r="BF404" s="118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8"/>
      <c r="BS404" s="118"/>
      <c r="BT404" s="118"/>
      <c r="BU404" s="118"/>
    </row>
    <row r="405" spans="15:73"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8"/>
      <c r="BS405" s="118"/>
      <c r="BT405" s="118"/>
      <c r="BU405" s="118"/>
    </row>
    <row r="406" spans="15:73"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  <c r="BB406" s="118"/>
      <c r="BC406" s="118"/>
      <c r="BD406" s="118"/>
      <c r="BE406" s="118"/>
      <c r="BF406" s="118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8"/>
      <c r="BS406" s="118"/>
      <c r="BT406" s="118"/>
      <c r="BU406" s="118"/>
    </row>
    <row r="407" spans="15:73"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8"/>
      <c r="BS407" s="118"/>
      <c r="BT407" s="118"/>
      <c r="BU407" s="118"/>
    </row>
    <row r="408" spans="15:73"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  <c r="BS408" s="118"/>
      <c r="BT408" s="118"/>
      <c r="BU408" s="118"/>
    </row>
    <row r="409" spans="15:73"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  <c r="BB409" s="118"/>
      <c r="BC409" s="118"/>
      <c r="BD409" s="118"/>
      <c r="BE409" s="118"/>
      <c r="BF409" s="118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8"/>
      <c r="BS409" s="118"/>
      <c r="BT409" s="118"/>
      <c r="BU409" s="118"/>
    </row>
    <row r="410" spans="15:73"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  <c r="BB410" s="118"/>
      <c r="BC410" s="118"/>
      <c r="BD410" s="118"/>
      <c r="BE410" s="118"/>
      <c r="BF410" s="118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8"/>
      <c r="BS410" s="118"/>
      <c r="BT410" s="118"/>
      <c r="BU410" s="118"/>
    </row>
    <row r="411" spans="15:73"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  <c r="BB411" s="118"/>
      <c r="BC411" s="118"/>
      <c r="BD411" s="118"/>
      <c r="BE411" s="118"/>
      <c r="BF411" s="118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8"/>
      <c r="BS411" s="118"/>
      <c r="BT411" s="118"/>
      <c r="BU411" s="118"/>
    </row>
    <row r="412" spans="15:73"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  <c r="BS412" s="118"/>
      <c r="BT412" s="118"/>
      <c r="BU412" s="118"/>
    </row>
    <row r="413" spans="15:73"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  <c r="BB413" s="118"/>
      <c r="BC413" s="118"/>
      <c r="BD413" s="118"/>
      <c r="BE413" s="118"/>
      <c r="BF413" s="118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8"/>
      <c r="BS413" s="118"/>
      <c r="BT413" s="118"/>
      <c r="BU413" s="118"/>
    </row>
    <row r="414" spans="15:73"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  <c r="BB414" s="118"/>
      <c r="BC414" s="118"/>
      <c r="BD414" s="118"/>
      <c r="BE414" s="118"/>
      <c r="BF414" s="118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8"/>
      <c r="BS414" s="118"/>
      <c r="BT414" s="118"/>
      <c r="BU414" s="118"/>
    </row>
    <row r="415" spans="15:73"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8"/>
      <c r="BS415" s="118"/>
      <c r="BT415" s="118"/>
      <c r="BU415" s="118"/>
    </row>
    <row r="416" spans="15:73"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  <c r="BS416" s="118"/>
      <c r="BT416" s="118"/>
      <c r="BU416" s="118"/>
    </row>
    <row r="417" spans="15:73"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8"/>
      <c r="BS417" s="118"/>
      <c r="BT417" s="118"/>
      <c r="BU417" s="118"/>
    </row>
    <row r="418" spans="15:73"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  <c r="BB418" s="118"/>
      <c r="BC418" s="118"/>
      <c r="BD418" s="118"/>
      <c r="BE418" s="118"/>
      <c r="BF418" s="118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8"/>
      <c r="BS418" s="118"/>
      <c r="BT418" s="118"/>
      <c r="BU418" s="118"/>
    </row>
    <row r="419" spans="15:73"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  <c r="BB419" s="118"/>
      <c r="BC419" s="118"/>
      <c r="BD419" s="118"/>
      <c r="BE419" s="118"/>
      <c r="BF419" s="118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8"/>
      <c r="BS419" s="118"/>
      <c r="BT419" s="118"/>
      <c r="BU419" s="118"/>
    </row>
    <row r="420" spans="15:73"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8"/>
      <c r="BS420" s="118"/>
      <c r="BT420" s="118"/>
      <c r="BU420" s="118"/>
    </row>
    <row r="421" spans="15:73"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  <c r="BB421" s="118"/>
      <c r="BC421" s="118"/>
      <c r="BD421" s="118"/>
      <c r="BE421" s="118"/>
      <c r="BF421" s="118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8"/>
      <c r="BS421" s="118"/>
      <c r="BT421" s="118"/>
      <c r="BU421" s="118"/>
    </row>
    <row r="422" spans="15:73"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  <c r="BB422" s="118"/>
      <c r="BC422" s="118"/>
      <c r="BD422" s="118"/>
      <c r="BE422" s="118"/>
      <c r="BF422" s="118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8"/>
      <c r="BS422" s="118"/>
      <c r="BT422" s="118"/>
      <c r="BU422" s="118"/>
    </row>
    <row r="423" spans="15:73"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  <c r="BB423" s="118"/>
      <c r="BC423" s="118"/>
      <c r="BD423" s="118"/>
      <c r="BE423" s="118"/>
      <c r="BF423" s="118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8"/>
      <c r="BS423" s="118"/>
      <c r="BT423" s="118"/>
      <c r="BU423" s="118"/>
    </row>
    <row r="424" spans="15:73"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8"/>
      <c r="BS424" s="118"/>
      <c r="BT424" s="118"/>
      <c r="BU424" s="118"/>
    </row>
    <row r="425" spans="15:73"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  <c r="BB425" s="118"/>
      <c r="BC425" s="118"/>
      <c r="BD425" s="118"/>
      <c r="BE425" s="118"/>
      <c r="BF425" s="118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8"/>
      <c r="BS425" s="118"/>
      <c r="BT425" s="118"/>
      <c r="BU425" s="118"/>
    </row>
    <row r="426" spans="15:73"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  <c r="BB426" s="118"/>
      <c r="BC426" s="118"/>
      <c r="BD426" s="118"/>
      <c r="BE426" s="118"/>
      <c r="BF426" s="118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8"/>
      <c r="BS426" s="118"/>
      <c r="BT426" s="118"/>
      <c r="BU426" s="118"/>
    </row>
    <row r="427" spans="15:73"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  <c r="BB427" s="118"/>
      <c r="BC427" s="118"/>
      <c r="BD427" s="118"/>
      <c r="BE427" s="118"/>
      <c r="BF427" s="118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8"/>
      <c r="BS427" s="118"/>
      <c r="BT427" s="118"/>
      <c r="BU427" s="118"/>
    </row>
    <row r="428" spans="15:73"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8"/>
      <c r="BS428" s="118"/>
      <c r="BT428" s="118"/>
      <c r="BU428" s="118"/>
    </row>
    <row r="429" spans="15:73"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  <c r="BB429" s="118"/>
      <c r="BC429" s="118"/>
      <c r="BD429" s="118"/>
      <c r="BE429" s="118"/>
      <c r="BF429" s="118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8"/>
      <c r="BS429" s="118"/>
      <c r="BT429" s="118"/>
      <c r="BU429" s="118"/>
    </row>
    <row r="430" spans="15:73"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  <c r="BT430" s="118"/>
      <c r="BU430" s="118"/>
    </row>
    <row r="431" spans="15:73"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</row>
    <row r="432" spans="15:73"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8"/>
      <c r="BS432" s="118"/>
      <c r="BT432" s="118"/>
      <c r="BU432" s="118"/>
    </row>
    <row r="433" spans="15:73"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  <c r="BB433" s="118"/>
      <c r="BC433" s="118"/>
      <c r="BD433" s="118"/>
      <c r="BE433" s="118"/>
      <c r="BF433" s="118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8"/>
      <c r="BS433" s="118"/>
      <c r="BT433" s="118"/>
      <c r="BU433" s="118"/>
    </row>
    <row r="434" spans="15:73"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  <c r="BB434" s="118"/>
      <c r="BC434" s="118"/>
      <c r="BD434" s="118"/>
      <c r="BE434" s="118"/>
      <c r="BF434" s="118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8"/>
      <c r="BS434" s="118"/>
      <c r="BT434" s="118"/>
      <c r="BU434" s="118"/>
    </row>
    <row r="435" spans="15:73"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  <c r="BS435" s="118"/>
      <c r="BT435" s="118"/>
      <c r="BU435" s="118"/>
    </row>
    <row r="436" spans="15:73"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  <c r="BB436" s="118"/>
      <c r="BC436" s="118"/>
      <c r="BD436" s="118"/>
      <c r="BE436" s="118"/>
      <c r="BF436" s="118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8"/>
      <c r="BS436" s="118"/>
      <c r="BT436" s="118"/>
      <c r="BU436" s="118"/>
    </row>
    <row r="437" spans="15:73"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  <c r="BB437" s="118"/>
      <c r="BC437" s="118"/>
      <c r="BD437" s="118"/>
      <c r="BE437" s="118"/>
      <c r="BF437" s="118"/>
      <c r="BG437" s="118"/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8"/>
      <c r="BS437" s="118"/>
      <c r="BT437" s="118"/>
      <c r="BU437" s="118"/>
    </row>
    <row r="438" spans="15:73"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  <c r="BB438" s="118"/>
      <c r="BC438" s="118"/>
      <c r="BD438" s="118"/>
      <c r="BE438" s="118"/>
      <c r="BF438" s="118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8"/>
      <c r="BS438" s="118"/>
      <c r="BT438" s="118"/>
      <c r="BU438" s="118"/>
    </row>
    <row r="439" spans="15:73"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  <c r="BB439" s="118"/>
      <c r="BC439" s="118"/>
      <c r="BD439" s="118"/>
      <c r="BE439" s="118"/>
      <c r="BF439" s="118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8"/>
      <c r="BS439" s="118"/>
      <c r="BT439" s="118"/>
      <c r="BU439" s="118"/>
    </row>
    <row r="440" spans="15:73"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  <c r="BS440" s="118"/>
      <c r="BT440" s="118"/>
      <c r="BU440" s="118"/>
    </row>
    <row r="441" spans="15:73"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  <c r="BB441" s="118"/>
      <c r="BC441" s="118"/>
      <c r="BD441" s="118"/>
      <c r="BE441" s="118"/>
      <c r="BF441" s="118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8"/>
      <c r="BS441" s="118"/>
      <c r="BT441" s="118"/>
      <c r="BU441" s="118"/>
    </row>
    <row r="442" spans="15:73"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  <c r="BB442" s="118"/>
      <c r="BC442" s="118"/>
      <c r="BD442" s="118"/>
      <c r="BE442" s="118"/>
      <c r="BF442" s="118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8"/>
      <c r="BS442" s="118"/>
      <c r="BT442" s="118"/>
      <c r="BU442" s="118"/>
    </row>
    <row r="443" spans="15:73"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  <c r="BB443" s="118"/>
      <c r="BC443" s="118"/>
      <c r="BD443" s="118"/>
      <c r="BE443" s="118"/>
      <c r="BF443" s="118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8"/>
      <c r="BS443" s="118"/>
      <c r="BT443" s="118"/>
      <c r="BU443" s="118"/>
    </row>
    <row r="444" spans="15:73"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  <c r="BS444" s="118"/>
      <c r="BT444" s="118"/>
      <c r="BU444" s="118"/>
    </row>
    <row r="445" spans="15:73"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  <c r="BB445" s="118"/>
      <c r="BC445" s="118"/>
      <c r="BD445" s="118"/>
      <c r="BE445" s="118"/>
      <c r="BF445" s="118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8"/>
      <c r="BS445" s="118"/>
      <c r="BT445" s="118"/>
      <c r="BU445" s="118"/>
    </row>
    <row r="446" spans="15:73"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  <c r="BB446" s="118"/>
      <c r="BC446" s="118"/>
      <c r="BD446" s="118"/>
      <c r="BE446" s="118"/>
      <c r="BF446" s="118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8"/>
      <c r="BS446" s="118"/>
      <c r="BT446" s="118"/>
      <c r="BU446" s="118"/>
    </row>
    <row r="447" spans="15:73"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  <c r="BB447" s="118"/>
      <c r="BC447" s="118"/>
      <c r="BD447" s="118"/>
      <c r="BE447" s="118"/>
      <c r="BF447" s="118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8"/>
      <c r="BS447" s="118"/>
      <c r="BT447" s="118"/>
      <c r="BU447" s="118"/>
    </row>
    <row r="448" spans="15:73"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  <c r="BS448" s="118"/>
      <c r="BT448" s="118"/>
      <c r="BU448" s="118"/>
    </row>
    <row r="449" spans="15:73"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</row>
    <row r="450" spans="15:73"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  <c r="BB450" s="118"/>
      <c r="BC450" s="118"/>
      <c r="BD450" s="118"/>
      <c r="BE450" s="118"/>
      <c r="BF450" s="118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8"/>
      <c r="BS450" s="118"/>
      <c r="BT450" s="118"/>
      <c r="BU450" s="118"/>
    </row>
    <row r="451" spans="15:73"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  <c r="BU451" s="118"/>
    </row>
    <row r="452" spans="15:73"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8"/>
      <c r="BS452" s="118"/>
      <c r="BT452" s="118"/>
      <c r="BU452" s="118"/>
    </row>
    <row r="453" spans="15:73"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  <c r="BB453" s="118"/>
      <c r="BC453" s="118"/>
      <c r="BD453" s="118"/>
      <c r="BE453" s="118"/>
      <c r="BF453" s="118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8"/>
      <c r="BS453" s="118"/>
      <c r="BT453" s="118"/>
      <c r="BU453" s="118"/>
    </row>
    <row r="454" spans="15:73"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  <c r="BB454" s="118"/>
      <c r="BC454" s="118"/>
      <c r="BD454" s="118"/>
      <c r="BE454" s="118"/>
      <c r="BF454" s="118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8"/>
      <c r="BS454" s="118"/>
      <c r="BT454" s="118"/>
      <c r="BU454" s="118"/>
    </row>
    <row r="455" spans="15:73"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  <c r="BB455" s="118"/>
      <c r="BC455" s="118"/>
      <c r="BD455" s="118"/>
      <c r="BE455" s="118"/>
      <c r="BF455" s="118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8"/>
      <c r="BS455" s="118"/>
      <c r="BT455" s="118"/>
      <c r="BU455" s="118"/>
    </row>
    <row r="456" spans="15:73"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8"/>
      <c r="BS456" s="118"/>
      <c r="BT456" s="118"/>
      <c r="BU456" s="118"/>
    </row>
    <row r="457" spans="15:73"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  <c r="BB457" s="118"/>
      <c r="BC457" s="118"/>
      <c r="BD457" s="118"/>
      <c r="BE457" s="118"/>
      <c r="BF457" s="118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8"/>
      <c r="BS457" s="118"/>
      <c r="BT457" s="118"/>
      <c r="BU457" s="118"/>
    </row>
    <row r="458" spans="15:73"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  <c r="BB458" s="118"/>
      <c r="BC458" s="118"/>
      <c r="BD458" s="118"/>
      <c r="BE458" s="118"/>
      <c r="BF458" s="118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8"/>
      <c r="BS458" s="118"/>
      <c r="BT458" s="118"/>
      <c r="BU458" s="118"/>
    </row>
    <row r="459" spans="15:73"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  <c r="BB459" s="118"/>
      <c r="BC459" s="118"/>
      <c r="BD459" s="118"/>
      <c r="BE459" s="118"/>
      <c r="BF459" s="118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8"/>
      <c r="BS459" s="118"/>
      <c r="BT459" s="118"/>
      <c r="BU459" s="118"/>
    </row>
    <row r="460" spans="15:73"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8"/>
      <c r="BS460" s="118"/>
      <c r="BT460" s="118"/>
      <c r="BU460" s="118"/>
    </row>
    <row r="461" spans="15:73"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  <c r="BB461" s="118"/>
      <c r="BC461" s="118"/>
      <c r="BD461" s="118"/>
      <c r="BE461" s="118"/>
      <c r="BF461" s="118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8"/>
      <c r="BS461" s="118"/>
      <c r="BT461" s="118"/>
      <c r="BU461" s="118"/>
    </row>
    <row r="462" spans="15:73"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</row>
    <row r="463" spans="15:73"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  <c r="BB463" s="118"/>
      <c r="BC463" s="118"/>
      <c r="BD463" s="118"/>
      <c r="BE463" s="118"/>
      <c r="BF463" s="118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8"/>
      <c r="BS463" s="118"/>
      <c r="BT463" s="118"/>
      <c r="BU463" s="118"/>
    </row>
    <row r="464" spans="15:73"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8"/>
      <c r="BS464" s="118"/>
      <c r="BT464" s="118"/>
      <c r="BU464" s="118"/>
    </row>
    <row r="465" spans="15:73"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  <c r="BB465" s="118"/>
      <c r="BC465" s="118"/>
      <c r="BD465" s="118"/>
      <c r="BE465" s="118"/>
      <c r="BF465" s="118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8"/>
      <c r="BS465" s="118"/>
      <c r="BT465" s="118"/>
      <c r="BU465" s="118"/>
    </row>
    <row r="466" spans="15:73"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  <c r="BB466" s="118"/>
      <c r="BC466" s="118"/>
      <c r="BD466" s="118"/>
      <c r="BE466" s="118"/>
      <c r="BF466" s="118"/>
      <c r="BG466" s="118"/>
      <c r="BH466" s="118"/>
      <c r="BI466" s="118"/>
      <c r="BJ466" s="118"/>
      <c r="BK466" s="118"/>
      <c r="BL466" s="118"/>
      <c r="BM466" s="118"/>
      <c r="BN466" s="118"/>
      <c r="BO466" s="118"/>
      <c r="BP466" s="118"/>
      <c r="BQ466" s="118"/>
      <c r="BR466" s="118"/>
      <c r="BS466" s="118"/>
      <c r="BT466" s="118"/>
      <c r="BU466" s="118"/>
    </row>
    <row r="467" spans="15:73"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  <c r="BS467" s="118"/>
      <c r="BT467" s="118"/>
      <c r="BU467" s="118"/>
    </row>
    <row r="468" spans="15:73"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  <c r="BB468" s="118"/>
      <c r="BC468" s="118"/>
      <c r="BD468" s="118"/>
      <c r="BE468" s="118"/>
      <c r="BF468" s="118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8"/>
      <c r="BS468" s="118"/>
      <c r="BT468" s="118"/>
      <c r="BU468" s="118"/>
    </row>
    <row r="469" spans="15:73"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  <c r="BB469" s="118"/>
      <c r="BC469" s="118"/>
      <c r="BD469" s="118"/>
      <c r="BE469" s="118"/>
      <c r="BF469" s="118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8"/>
      <c r="BS469" s="118"/>
      <c r="BT469" s="118"/>
      <c r="BU469" s="118"/>
    </row>
    <row r="470" spans="15:73"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8"/>
      <c r="BS470" s="118"/>
      <c r="BT470" s="118"/>
      <c r="BU470" s="118"/>
    </row>
    <row r="471" spans="15:73"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  <c r="BB471" s="118"/>
      <c r="BC471" s="118"/>
      <c r="BD471" s="118"/>
      <c r="BE471" s="118"/>
      <c r="BF471" s="118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8"/>
      <c r="BS471" s="118"/>
      <c r="BT471" s="118"/>
      <c r="BU471" s="118"/>
    </row>
    <row r="472" spans="15:73"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  <c r="BS472" s="118"/>
      <c r="BT472" s="118"/>
      <c r="BU472" s="118"/>
    </row>
    <row r="473" spans="15:73"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  <c r="BB473" s="118"/>
      <c r="BC473" s="118"/>
      <c r="BD473" s="118"/>
      <c r="BE473" s="118"/>
      <c r="BF473" s="118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8"/>
      <c r="BS473" s="118"/>
      <c r="BT473" s="118"/>
      <c r="BU473" s="118"/>
    </row>
    <row r="474" spans="15:73"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  <c r="BB474" s="118"/>
      <c r="BC474" s="118"/>
      <c r="BD474" s="118"/>
      <c r="BE474" s="118"/>
      <c r="BF474" s="118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8"/>
      <c r="BS474" s="118"/>
      <c r="BT474" s="118"/>
      <c r="BU474" s="118"/>
    </row>
    <row r="475" spans="15:73"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  <c r="BB475" s="118"/>
      <c r="BC475" s="118"/>
      <c r="BD475" s="118"/>
      <c r="BE475" s="118"/>
      <c r="BF475" s="118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8"/>
      <c r="BS475" s="118"/>
      <c r="BT475" s="118"/>
      <c r="BU475" s="118"/>
    </row>
    <row r="476" spans="15:73"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  <c r="BU476" s="118"/>
    </row>
    <row r="477" spans="15:73"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  <c r="BB477" s="118"/>
      <c r="BC477" s="118"/>
      <c r="BD477" s="118"/>
      <c r="BE477" s="118"/>
      <c r="BF477" s="118"/>
      <c r="BG477" s="118"/>
      <c r="BH477" s="118"/>
      <c r="BI477" s="118"/>
      <c r="BJ477" s="118"/>
      <c r="BK477" s="118"/>
      <c r="BL477" s="118"/>
      <c r="BM477" s="118"/>
      <c r="BN477" s="118"/>
      <c r="BO477" s="118"/>
      <c r="BP477" s="118"/>
      <c r="BQ477" s="118"/>
      <c r="BR477" s="118"/>
      <c r="BS477" s="118"/>
      <c r="BT477" s="118"/>
      <c r="BU477" s="118"/>
    </row>
    <row r="478" spans="15:73"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  <c r="BB478" s="118"/>
      <c r="BC478" s="118"/>
      <c r="BD478" s="118"/>
      <c r="BE478" s="118"/>
      <c r="BF478" s="118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8"/>
      <c r="BS478" s="118"/>
      <c r="BT478" s="118"/>
      <c r="BU478" s="118"/>
    </row>
    <row r="479" spans="15:73"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  <c r="BB479" s="118"/>
      <c r="BC479" s="118"/>
      <c r="BD479" s="118"/>
      <c r="BE479" s="118"/>
      <c r="BF479" s="118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8"/>
      <c r="BS479" s="118"/>
      <c r="BT479" s="118"/>
      <c r="BU479" s="118"/>
    </row>
    <row r="480" spans="15:73"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  <c r="BS480" s="118"/>
      <c r="BT480" s="118"/>
      <c r="BU480" s="118"/>
    </row>
    <row r="481" spans="15:73"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  <c r="BB481" s="118"/>
      <c r="BC481" s="118"/>
      <c r="BD481" s="118"/>
      <c r="BE481" s="118"/>
      <c r="BF481" s="118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8"/>
      <c r="BS481" s="118"/>
      <c r="BT481" s="118"/>
      <c r="BU481" s="118"/>
    </row>
    <row r="482" spans="15:73"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8"/>
      <c r="BS482" s="118"/>
      <c r="BT482" s="118"/>
      <c r="BU482" s="118"/>
    </row>
    <row r="483" spans="15:73"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  <c r="BB483" s="118"/>
      <c r="BC483" s="118"/>
      <c r="BD483" s="118"/>
      <c r="BE483" s="118"/>
      <c r="BF483" s="118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8"/>
      <c r="BS483" s="118"/>
      <c r="BT483" s="118"/>
      <c r="BU483" s="118"/>
    </row>
    <row r="484" spans="15:73"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8"/>
      <c r="BS484" s="118"/>
      <c r="BT484" s="118"/>
      <c r="BU484" s="118"/>
    </row>
    <row r="485" spans="15:73"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8"/>
      <c r="BS485" s="118"/>
      <c r="BT485" s="118"/>
      <c r="BU485" s="118"/>
    </row>
    <row r="486" spans="15:73"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  <c r="BB486" s="118"/>
      <c r="BC486" s="118"/>
      <c r="BD486" s="118"/>
      <c r="BE486" s="118"/>
      <c r="BF486" s="118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8"/>
      <c r="BS486" s="118"/>
      <c r="BT486" s="118"/>
      <c r="BU486" s="118"/>
    </row>
    <row r="487" spans="15:73"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  <c r="BB487" s="118"/>
      <c r="BC487" s="118"/>
      <c r="BD487" s="118"/>
      <c r="BE487" s="118"/>
      <c r="BF487" s="118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8"/>
      <c r="BS487" s="118"/>
      <c r="BT487" s="118"/>
      <c r="BU487" s="118"/>
    </row>
    <row r="488" spans="15:73"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  <c r="BT488" s="118"/>
      <c r="BU488" s="118"/>
    </row>
    <row r="489" spans="15:73"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</row>
    <row r="490" spans="15:73"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</row>
    <row r="491" spans="15:73"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</row>
    <row r="492" spans="15:73"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</row>
    <row r="493" spans="15:73"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</row>
    <row r="494" spans="15:73"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</row>
    <row r="495" spans="15:73"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</row>
    <row r="496" spans="15:73"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8"/>
      <c r="BS496" s="118"/>
      <c r="BT496" s="118"/>
      <c r="BU496" s="118"/>
    </row>
    <row r="497" spans="15:73"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  <c r="BB497" s="118"/>
      <c r="BC497" s="118"/>
      <c r="BD497" s="118"/>
      <c r="BE497" s="118"/>
      <c r="BF497" s="118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8"/>
      <c r="BS497" s="118"/>
      <c r="BT497" s="118"/>
      <c r="BU497" s="118"/>
    </row>
    <row r="498" spans="15:73"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  <c r="BB498" s="118"/>
      <c r="BC498" s="118"/>
      <c r="BD498" s="118"/>
      <c r="BE498" s="118"/>
      <c r="BF498" s="118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8"/>
      <c r="BS498" s="118"/>
      <c r="BT498" s="118"/>
      <c r="BU498" s="118"/>
    </row>
    <row r="499" spans="15:73"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  <c r="BT499" s="118"/>
      <c r="BU499" s="118"/>
    </row>
    <row r="500" spans="15:73"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8"/>
      <c r="BS500" s="118"/>
      <c r="BT500" s="118"/>
      <c r="BU500" s="118"/>
    </row>
    <row r="501" spans="15:73"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  <c r="BB501" s="118"/>
      <c r="BC501" s="118"/>
      <c r="BD501" s="118"/>
      <c r="BE501" s="118"/>
      <c r="BF501" s="118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8"/>
      <c r="BS501" s="118"/>
      <c r="BT501" s="118"/>
      <c r="BU501" s="118"/>
    </row>
    <row r="502" spans="15:73"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8"/>
      <c r="BS502" s="118"/>
      <c r="BT502" s="118"/>
      <c r="BU502" s="118"/>
    </row>
    <row r="503" spans="15:73"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  <c r="BB503" s="118"/>
      <c r="BC503" s="118"/>
      <c r="BD503" s="118"/>
      <c r="BE503" s="118"/>
      <c r="BF503" s="118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8"/>
      <c r="BS503" s="118"/>
      <c r="BT503" s="118"/>
      <c r="BU503" s="118"/>
    </row>
    <row r="504" spans="15:73"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  <c r="BS504" s="118"/>
      <c r="BT504" s="118"/>
      <c r="BU504" s="118"/>
    </row>
    <row r="505" spans="15:73"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  <c r="BB505" s="118"/>
      <c r="BC505" s="118"/>
      <c r="BD505" s="118"/>
      <c r="BE505" s="118"/>
      <c r="BF505" s="118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8"/>
      <c r="BS505" s="118"/>
      <c r="BT505" s="118"/>
      <c r="BU505" s="118"/>
    </row>
    <row r="506" spans="15:73"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  <c r="BB506" s="118"/>
      <c r="BC506" s="118"/>
      <c r="BD506" s="118"/>
      <c r="BE506" s="118"/>
      <c r="BF506" s="118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8"/>
      <c r="BS506" s="118"/>
      <c r="BT506" s="118"/>
      <c r="BU506" s="118"/>
    </row>
    <row r="507" spans="15:73"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C507" s="118"/>
      <c r="BD507" s="118"/>
      <c r="BE507" s="118"/>
      <c r="BF507" s="118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8"/>
      <c r="BS507" s="118"/>
      <c r="BT507" s="118"/>
      <c r="BU507" s="118"/>
    </row>
    <row r="508" spans="15:73"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  <c r="BS508" s="118"/>
      <c r="BT508" s="118"/>
      <c r="BU508" s="118"/>
    </row>
    <row r="509" spans="15:73"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C509" s="118"/>
      <c r="BD509" s="118"/>
      <c r="BE509" s="118"/>
      <c r="BF509" s="118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8"/>
      <c r="BS509" s="118"/>
      <c r="BT509" s="118"/>
      <c r="BU509" s="118"/>
    </row>
    <row r="510" spans="15:73"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C510" s="118"/>
      <c r="BD510" s="118"/>
      <c r="BE510" s="118"/>
      <c r="BF510" s="118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8"/>
      <c r="BS510" s="118"/>
      <c r="BT510" s="118"/>
      <c r="BU510" s="118"/>
    </row>
    <row r="511" spans="15:73"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C511" s="118"/>
      <c r="BD511" s="118"/>
      <c r="BE511" s="118"/>
      <c r="BF511" s="118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8"/>
      <c r="BS511" s="118"/>
      <c r="BT511" s="118"/>
      <c r="BU511" s="118"/>
    </row>
    <row r="512" spans="15:73"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  <c r="BS512" s="118"/>
      <c r="BT512" s="118"/>
      <c r="BU512" s="118"/>
    </row>
    <row r="513" spans="15:73"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C513" s="118"/>
      <c r="BD513" s="118"/>
      <c r="BE513" s="118"/>
      <c r="BF513" s="118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8"/>
      <c r="BS513" s="118"/>
      <c r="BT513" s="118"/>
      <c r="BU513" s="118"/>
    </row>
    <row r="514" spans="15:73"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C514" s="118"/>
      <c r="BD514" s="118"/>
      <c r="BE514" s="118"/>
      <c r="BF514" s="118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8"/>
      <c r="BS514" s="118"/>
      <c r="BT514" s="118"/>
      <c r="BU514" s="118"/>
    </row>
    <row r="515" spans="15:73"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C515" s="118"/>
      <c r="BD515" s="118"/>
      <c r="BE515" s="118"/>
      <c r="BF515" s="118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8"/>
      <c r="BS515" s="118"/>
      <c r="BT515" s="118"/>
      <c r="BU515" s="118"/>
    </row>
    <row r="516" spans="15:73"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  <c r="BC516" s="118"/>
      <c r="BD516" s="118"/>
      <c r="BE516" s="118"/>
      <c r="BF516" s="118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8"/>
      <c r="BS516" s="118"/>
      <c r="BT516" s="118"/>
      <c r="BU516" s="118"/>
    </row>
    <row r="517" spans="15:73"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  <c r="BB517" s="118"/>
      <c r="BC517" s="118"/>
      <c r="BD517" s="118"/>
      <c r="BE517" s="118"/>
      <c r="BF517" s="118"/>
      <c r="BG517" s="118"/>
      <c r="BH517" s="118"/>
      <c r="BI517" s="118"/>
      <c r="BJ517" s="118"/>
      <c r="BK517" s="118"/>
      <c r="BL517" s="118"/>
      <c r="BM517" s="118"/>
      <c r="BN517" s="118"/>
      <c r="BO517" s="118"/>
      <c r="BP517" s="118"/>
      <c r="BQ517" s="118"/>
      <c r="BR517" s="118"/>
      <c r="BS517" s="118"/>
      <c r="BT517" s="118"/>
      <c r="BU517" s="118"/>
    </row>
    <row r="518" spans="15:73"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  <c r="BB518" s="118"/>
      <c r="BC518" s="118"/>
      <c r="BD518" s="118"/>
      <c r="BE518" s="118"/>
      <c r="BF518" s="118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8"/>
      <c r="BS518" s="118"/>
      <c r="BT518" s="118"/>
      <c r="BU518" s="118"/>
    </row>
    <row r="519" spans="15:73"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8"/>
      <c r="BS519" s="118"/>
      <c r="BT519" s="118"/>
      <c r="BU519" s="118"/>
    </row>
    <row r="520" spans="15:73"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</row>
    <row r="521" spans="15:73"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  <c r="BB521" s="118"/>
      <c r="BC521" s="118"/>
      <c r="BD521" s="118"/>
      <c r="BE521" s="118"/>
      <c r="BF521" s="118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8"/>
      <c r="BS521" s="118"/>
      <c r="BT521" s="118"/>
      <c r="BU521" s="118"/>
    </row>
    <row r="522" spans="15:73"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  <c r="BB522" s="118"/>
      <c r="BC522" s="118"/>
      <c r="BD522" s="118"/>
      <c r="BE522" s="118"/>
      <c r="BF522" s="118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8"/>
      <c r="BS522" s="118"/>
      <c r="BT522" s="118"/>
      <c r="BU522" s="118"/>
    </row>
    <row r="523" spans="15:73"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  <c r="BB523" s="118"/>
      <c r="BC523" s="118"/>
      <c r="BD523" s="118"/>
      <c r="BE523" s="118"/>
      <c r="BF523" s="118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8"/>
      <c r="BS523" s="118"/>
      <c r="BT523" s="118"/>
      <c r="BU523" s="118"/>
    </row>
    <row r="524" spans="15:73"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  <c r="BB524" s="118"/>
      <c r="BC524" s="118"/>
      <c r="BD524" s="118"/>
      <c r="BE524" s="118"/>
      <c r="BF524" s="118"/>
      <c r="BG524" s="118"/>
      <c r="BH524" s="118"/>
      <c r="BI524" s="118"/>
      <c r="BJ524" s="118"/>
      <c r="BK524" s="118"/>
      <c r="BL524" s="118"/>
      <c r="BM524" s="118"/>
      <c r="BN524" s="118"/>
      <c r="BO524" s="118"/>
      <c r="BP524" s="118"/>
      <c r="BQ524" s="118"/>
      <c r="BR524" s="118"/>
      <c r="BS524" s="118"/>
      <c r="BT524" s="118"/>
      <c r="BU524" s="118"/>
    </row>
    <row r="525" spans="15:73"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  <c r="BB525" s="118"/>
      <c r="BC525" s="118"/>
      <c r="BD525" s="118"/>
      <c r="BE525" s="118"/>
      <c r="BF525" s="118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8"/>
      <c r="BS525" s="118"/>
      <c r="BT525" s="118"/>
      <c r="BU525" s="118"/>
    </row>
    <row r="526" spans="15:73"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  <c r="BB526" s="118"/>
      <c r="BC526" s="118"/>
      <c r="BD526" s="118"/>
      <c r="BE526" s="118"/>
      <c r="BF526" s="118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8"/>
      <c r="BS526" s="118"/>
      <c r="BT526" s="118"/>
      <c r="BU526" s="118"/>
    </row>
    <row r="527" spans="15:73"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</row>
    <row r="528" spans="15:73"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  <c r="BB528" s="118"/>
      <c r="BC528" s="118"/>
      <c r="BD528" s="118"/>
      <c r="BE528" s="118"/>
      <c r="BF528" s="118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8"/>
      <c r="BS528" s="118"/>
      <c r="BT528" s="118"/>
      <c r="BU528" s="118"/>
    </row>
    <row r="529" spans="15:73"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  <c r="BB529" s="118"/>
      <c r="BC529" s="118"/>
      <c r="BD529" s="118"/>
      <c r="BE529" s="118"/>
      <c r="BF529" s="118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8"/>
      <c r="BS529" s="118"/>
      <c r="BT529" s="118"/>
      <c r="BU529" s="118"/>
    </row>
    <row r="530" spans="15:73"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  <c r="BB530" s="118"/>
      <c r="BC530" s="118"/>
      <c r="BD530" s="118"/>
      <c r="BE530" s="118"/>
      <c r="BF530" s="118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8"/>
      <c r="BS530" s="118"/>
      <c r="BT530" s="118"/>
      <c r="BU530" s="118"/>
    </row>
    <row r="531" spans="15:73"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</row>
    <row r="532" spans="15:73"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  <c r="BB532" s="118"/>
      <c r="BC532" s="118"/>
      <c r="BD532" s="118"/>
      <c r="BE532" s="118"/>
      <c r="BF532" s="118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8"/>
      <c r="BS532" s="118"/>
      <c r="BT532" s="118"/>
      <c r="BU532" s="118"/>
    </row>
    <row r="533" spans="15:73"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  <c r="BB533" s="118"/>
      <c r="BC533" s="118"/>
      <c r="BD533" s="118"/>
      <c r="BE533" s="118"/>
      <c r="BF533" s="118"/>
      <c r="BG533" s="118"/>
      <c r="BH533" s="118"/>
      <c r="BI533" s="118"/>
      <c r="BJ533" s="118"/>
      <c r="BK533" s="118"/>
      <c r="BL533" s="118"/>
      <c r="BM533" s="118"/>
      <c r="BN533" s="118"/>
      <c r="BO533" s="118"/>
      <c r="BP533" s="118"/>
      <c r="BQ533" s="118"/>
      <c r="BR533" s="118"/>
      <c r="BS533" s="118"/>
      <c r="BT533" s="118"/>
      <c r="BU533" s="118"/>
    </row>
    <row r="534" spans="15:73"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  <c r="BB534" s="118"/>
      <c r="BC534" s="118"/>
      <c r="BD534" s="118"/>
      <c r="BE534" s="118"/>
      <c r="BF534" s="118"/>
      <c r="BG534" s="118"/>
      <c r="BH534" s="118"/>
      <c r="BI534" s="118"/>
      <c r="BJ534" s="118"/>
      <c r="BK534" s="118"/>
      <c r="BL534" s="118"/>
      <c r="BM534" s="118"/>
      <c r="BN534" s="118"/>
      <c r="BO534" s="118"/>
      <c r="BP534" s="118"/>
      <c r="BQ534" s="118"/>
      <c r="BR534" s="118"/>
      <c r="BS534" s="118"/>
      <c r="BT534" s="118"/>
      <c r="BU534" s="118"/>
    </row>
    <row r="535" spans="15:73"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  <c r="BB535" s="118"/>
      <c r="BC535" s="118"/>
      <c r="BD535" s="118"/>
      <c r="BE535" s="118"/>
      <c r="BF535" s="118"/>
      <c r="BG535" s="118"/>
      <c r="BH535" s="118"/>
      <c r="BI535" s="118"/>
      <c r="BJ535" s="118"/>
      <c r="BK535" s="118"/>
      <c r="BL535" s="118"/>
      <c r="BM535" s="118"/>
      <c r="BN535" s="118"/>
      <c r="BO535" s="118"/>
      <c r="BP535" s="118"/>
      <c r="BQ535" s="118"/>
      <c r="BR535" s="118"/>
      <c r="BS535" s="118"/>
      <c r="BT535" s="118"/>
      <c r="BU535" s="118"/>
    </row>
    <row r="536" spans="15:73"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  <c r="BB536" s="118"/>
      <c r="BC536" s="118"/>
      <c r="BD536" s="118"/>
      <c r="BE536" s="118"/>
      <c r="BF536" s="118"/>
      <c r="BG536" s="118"/>
      <c r="BH536" s="118"/>
      <c r="BI536" s="118"/>
      <c r="BJ536" s="118"/>
      <c r="BK536" s="118"/>
      <c r="BL536" s="118"/>
      <c r="BM536" s="118"/>
      <c r="BN536" s="118"/>
      <c r="BO536" s="118"/>
      <c r="BP536" s="118"/>
      <c r="BQ536" s="118"/>
      <c r="BR536" s="118"/>
      <c r="BS536" s="118"/>
      <c r="BT536" s="118"/>
      <c r="BU536" s="118"/>
    </row>
  </sheetData>
  <dataConsolidate link="1"/>
  <phoneticPr fontId="24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6"/>
  <sheetViews>
    <sheetView showGridLines="0" zoomScale="70" zoomScaleNormal="70" workbookViewId="0"/>
  </sheetViews>
  <sheetFormatPr defaultColWidth="9.109375" defaultRowHeight="13.2"/>
  <cols>
    <col min="1" max="1" width="16" style="16" customWidth="1"/>
    <col min="2" max="2" width="12.33203125" style="16" bestFit="1" customWidth="1"/>
    <col min="3" max="3" width="13" style="16" bestFit="1" customWidth="1"/>
    <col min="4" max="4" width="8.6640625" style="16" bestFit="1" customWidth="1"/>
    <col min="5" max="5" width="11.5546875" style="16" bestFit="1" customWidth="1"/>
    <col min="6" max="6" width="1.6640625" style="16" customWidth="1"/>
    <col min="7" max="9" width="11.5546875" style="16" bestFit="1" customWidth="1"/>
    <col min="10" max="10" width="10.6640625" style="16" customWidth="1"/>
    <col min="11" max="11" width="13.5546875" style="16" customWidth="1"/>
    <col min="12" max="12" width="11.6640625" style="16" bestFit="1" customWidth="1"/>
    <col min="13" max="16384" width="9.109375" style="16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7"/>
      <c r="B2" s="169" t="s">
        <v>58</v>
      </c>
      <c r="C2" s="169"/>
      <c r="D2" s="169"/>
      <c r="E2" s="169"/>
      <c r="F2" s="21"/>
      <c r="G2" s="169" t="s">
        <v>59</v>
      </c>
      <c r="H2" s="169"/>
      <c r="I2" s="169"/>
      <c r="J2" s="17"/>
    </row>
    <row r="3" spans="1:12" ht="13.8">
      <c r="A3" s="17" t="s">
        <v>17</v>
      </c>
      <c r="B3" s="19" t="s">
        <v>20</v>
      </c>
      <c r="C3" s="23"/>
      <c r="D3" s="23"/>
      <c r="E3" s="23"/>
      <c r="F3" s="23"/>
      <c r="G3" s="23"/>
      <c r="H3" s="23"/>
      <c r="I3" s="23"/>
      <c r="J3" s="19" t="s">
        <v>60</v>
      </c>
    </row>
    <row r="4" spans="1:12" ht="13.8">
      <c r="A4" s="24" t="s">
        <v>61</v>
      </c>
      <c r="B4" s="26" t="s">
        <v>62</v>
      </c>
      <c r="C4" s="26" t="s">
        <v>26</v>
      </c>
      <c r="D4" s="26" t="s">
        <v>27</v>
      </c>
      <c r="E4" s="28" t="s">
        <v>63</v>
      </c>
      <c r="F4" s="27"/>
      <c r="G4" s="26" t="s">
        <v>64</v>
      </c>
      <c r="H4" s="26" t="s">
        <v>65</v>
      </c>
      <c r="I4" s="26" t="s">
        <v>63</v>
      </c>
      <c r="J4" s="26" t="s">
        <v>66</v>
      </c>
    </row>
    <row r="5" spans="1:12" ht="14.4">
      <c r="A5" s="17"/>
      <c r="B5" s="170" t="s">
        <v>67</v>
      </c>
      <c r="C5" s="170"/>
      <c r="D5" s="170"/>
      <c r="E5" s="170"/>
      <c r="F5" s="170"/>
      <c r="G5" s="170"/>
      <c r="H5" s="170"/>
      <c r="I5" s="170"/>
      <c r="J5" s="170"/>
    </row>
    <row r="6" spans="1:12" ht="13.8">
      <c r="A6" s="17" t="s">
        <v>34</v>
      </c>
      <c r="B6" s="48">
        <v>341.33600000000001</v>
      </c>
      <c r="C6" s="49">
        <v>50564.716999999997</v>
      </c>
      <c r="D6" s="49">
        <v>784.47037552399991</v>
      </c>
      <c r="E6" s="35">
        <f>SUM(B6:D6)</f>
        <v>51690.523375523997</v>
      </c>
      <c r="F6" s="49"/>
      <c r="G6" s="49">
        <v>37674.379976930999</v>
      </c>
      <c r="H6" s="49">
        <v>13675.348139189</v>
      </c>
      <c r="I6" s="49">
        <f>SUM(G6:H6)</f>
        <v>51349.728116120001</v>
      </c>
      <c r="J6" s="49">
        <v>340.786</v>
      </c>
    </row>
    <row r="7" spans="1:12" ht="16.2">
      <c r="A7" s="17" t="s">
        <v>35</v>
      </c>
      <c r="B7" s="48">
        <f>J6</f>
        <v>340.786</v>
      </c>
      <c r="C7" s="49">
        <f>C23</f>
        <v>51814.455000000002</v>
      </c>
      <c r="D7" s="49">
        <f>D23</f>
        <v>649.11497484899996</v>
      </c>
      <c r="E7" s="35">
        <f>E23</f>
        <v>52804.355974849001</v>
      </c>
      <c r="F7" s="49"/>
      <c r="G7" s="49">
        <f>G23</f>
        <v>38969.617926673003</v>
      </c>
      <c r="H7" s="49">
        <f>H23</f>
        <v>13523.811048175998</v>
      </c>
      <c r="I7" s="49">
        <f>I23</f>
        <v>52493.428974849005</v>
      </c>
      <c r="J7" s="49">
        <f>J22</f>
        <v>310.92700000000002</v>
      </c>
    </row>
    <row r="8" spans="1:12" ht="16.2">
      <c r="A8" s="17" t="s">
        <v>36</v>
      </c>
      <c r="B8" s="48">
        <f>J7</f>
        <v>310.92700000000002</v>
      </c>
      <c r="C8" s="49">
        <v>52539.072999999997</v>
      </c>
      <c r="D8" s="49">
        <v>600</v>
      </c>
      <c r="E8" s="35">
        <f>SUM(B8:D8)</f>
        <v>53450</v>
      </c>
      <c r="F8" s="49"/>
      <c r="G8" s="49">
        <v>39400</v>
      </c>
      <c r="H8" s="49">
        <v>13700</v>
      </c>
      <c r="I8" s="49">
        <f>E8-J8</f>
        <v>53100</v>
      </c>
      <c r="J8" s="49">
        <v>350</v>
      </c>
    </row>
    <row r="9" spans="1:12" ht="13.8">
      <c r="A9" s="17"/>
      <c r="B9" s="50"/>
      <c r="C9" s="50"/>
      <c r="D9" s="50"/>
      <c r="E9" s="50"/>
      <c r="F9" s="50"/>
      <c r="G9" s="49"/>
      <c r="H9" s="50"/>
      <c r="I9" s="50"/>
      <c r="J9" s="50"/>
    </row>
    <row r="10" spans="1:12" ht="13.8">
      <c r="A10" s="51" t="s">
        <v>37</v>
      </c>
      <c r="B10" s="52"/>
      <c r="C10" s="6"/>
      <c r="D10" s="6"/>
      <c r="E10" s="6"/>
      <c r="F10" s="6"/>
      <c r="G10" s="6"/>
      <c r="H10" s="6"/>
      <c r="I10" s="6"/>
      <c r="J10" s="6"/>
    </row>
    <row r="11" spans="1:12" ht="14.4">
      <c r="A11" s="21" t="s">
        <v>39</v>
      </c>
      <c r="B11" s="52">
        <f>J6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19"/>
      <c r="L11" s="124"/>
    </row>
    <row r="12" spans="1:12" ht="14.4">
      <c r="A12" s="21" t="s">
        <v>40</v>
      </c>
      <c r="B12" s="52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19"/>
      <c r="L12" s="124"/>
    </row>
    <row r="13" spans="1:12" ht="14.4">
      <c r="A13" s="21" t="s">
        <v>42</v>
      </c>
      <c r="B13" s="52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19"/>
      <c r="L13" s="124"/>
    </row>
    <row r="14" spans="1:12" ht="14.4">
      <c r="A14" s="21" t="s">
        <v>43</v>
      </c>
      <c r="B14" s="52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19"/>
      <c r="L14" s="124"/>
    </row>
    <row r="15" spans="1:12" ht="14.4">
      <c r="A15" s="21" t="s">
        <v>44</v>
      </c>
      <c r="B15" s="52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385.87600000000003</v>
      </c>
      <c r="K15" s="119"/>
      <c r="L15" s="124"/>
    </row>
    <row r="16" spans="1:12" ht="14.4">
      <c r="A16" s="21" t="s">
        <v>46</v>
      </c>
      <c r="B16" s="52">
        <f t="shared" si="3"/>
        <v>385.87600000000003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380.96799999999996</v>
      </c>
      <c r="K16" s="119"/>
      <c r="L16" s="124"/>
    </row>
    <row r="17" spans="1:12" ht="14.4">
      <c r="A17" s="21" t="s">
        <v>47</v>
      </c>
      <c r="B17" s="52">
        <f t="shared" si="3"/>
        <v>380.96799999999996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19"/>
      <c r="L17" s="124"/>
    </row>
    <row r="18" spans="1:12" ht="14.4">
      <c r="A18" s="21" t="s">
        <v>48</v>
      </c>
      <c r="B18" s="52">
        <f t="shared" si="3"/>
        <v>445.01600000000002</v>
      </c>
      <c r="C18" s="6">
        <v>4260.0889999999999</v>
      </c>
      <c r="D18" s="125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25">
        <f>(1036354.3*1.10231)/1000</f>
        <v>1142.3837084329998</v>
      </c>
      <c r="I18" s="5">
        <f t="shared" si="2"/>
        <v>4314.3215992279993</v>
      </c>
      <c r="J18" s="6">
        <v>463.755</v>
      </c>
      <c r="K18" s="119"/>
      <c r="L18" s="124"/>
    </row>
    <row r="19" spans="1:12" ht="14.4">
      <c r="A19" s="21" t="s">
        <v>50</v>
      </c>
      <c r="B19" s="52">
        <f t="shared" si="3"/>
        <v>463.755</v>
      </c>
      <c r="C19" s="6">
        <v>4106.5650000000005</v>
      </c>
      <c r="D19" s="125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25">
        <f>(1039142.8*1.10231)/1000</f>
        <v>1145.457499868</v>
      </c>
      <c r="I19" s="5">
        <f t="shared" si="2"/>
        <v>4274.8033415060008</v>
      </c>
      <c r="J19" s="6">
        <v>357.30399999999997</v>
      </c>
      <c r="K19" s="119"/>
      <c r="L19"/>
    </row>
    <row r="20" spans="1:12" ht="14.4">
      <c r="A20" s="21" t="s">
        <v>51</v>
      </c>
      <c r="B20" s="52">
        <f>J19</f>
        <v>357.30399999999997</v>
      </c>
      <c r="C20" s="6">
        <v>4270.28</v>
      </c>
      <c r="D20" s="125">
        <f>(67390*1.10231)/1000</f>
        <v>74.284670899999995</v>
      </c>
      <c r="E20" s="6">
        <f t="shared" si="0"/>
        <v>4701.8686708999994</v>
      </c>
      <c r="F20" s="6"/>
      <c r="G20" s="6">
        <f t="shared" si="1"/>
        <v>3260.6808691549995</v>
      </c>
      <c r="H20" s="125">
        <f>(829589.5*1.10231)/1000</f>
        <v>914.46480174499993</v>
      </c>
      <c r="I20" s="5">
        <f t="shared" si="2"/>
        <v>4175.1456708999995</v>
      </c>
      <c r="J20" s="6">
        <v>526.72299999999996</v>
      </c>
      <c r="K20" s="119"/>
      <c r="L20"/>
    </row>
    <row r="21" spans="1:12" ht="14.4">
      <c r="A21" s="21" t="s">
        <v>52</v>
      </c>
      <c r="B21" s="52">
        <f>J20</f>
        <v>526.72299999999996</v>
      </c>
      <c r="C21" s="6">
        <v>4147.2370000000001</v>
      </c>
      <c r="D21" s="125">
        <f>(45618.3*1.10231)/1000</f>
        <v>50.285508272999998</v>
      </c>
      <c r="E21" s="6">
        <f t="shared" si="0"/>
        <v>4724.2455082730003</v>
      </c>
      <c r="F21" s="6"/>
      <c r="G21" s="6">
        <f t="shared" si="1"/>
        <v>3463.4597325930004</v>
      </c>
      <c r="H21" s="125">
        <f>(828128*1.10231)/1000</f>
        <v>912.85377568000001</v>
      </c>
      <c r="I21" s="5">
        <f t="shared" si="2"/>
        <v>4376.3135082730005</v>
      </c>
      <c r="J21" s="6">
        <v>347.93200000000002</v>
      </c>
      <c r="K21" s="119"/>
      <c r="L21"/>
    </row>
    <row r="22" spans="1:12" ht="14.4">
      <c r="A22" s="21" t="s">
        <v>38</v>
      </c>
      <c r="B22" s="52">
        <f>J21</f>
        <v>347.93200000000002</v>
      </c>
      <c r="C22" s="6">
        <v>3925.0389999999998</v>
      </c>
      <c r="D22" s="125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25">
        <f>(817307.4*1.10231)/1000</f>
        <v>900.92612009399988</v>
      </c>
      <c r="I22" s="5">
        <f t="shared" si="2"/>
        <v>4018.408637691999</v>
      </c>
      <c r="J22" s="6">
        <v>310.92700000000002</v>
      </c>
      <c r="K22" s="131"/>
      <c r="L22"/>
    </row>
    <row r="23" spans="1:12" ht="14.4">
      <c r="A23" s="21" t="s">
        <v>28</v>
      </c>
      <c r="B23" s="52"/>
      <c r="C23" s="6">
        <f>SUM(C11:C22)</f>
        <v>51814.455000000002</v>
      </c>
      <c r="D23" s="6">
        <f>(588867.9*1.10231)/1000</f>
        <v>649.11497484899996</v>
      </c>
      <c r="E23" s="6">
        <f>B11+C23+D23</f>
        <v>52804.355974849001</v>
      </c>
      <c r="F23" s="6"/>
      <c r="G23" s="6">
        <f>SUM(G11:G22)</f>
        <v>38969.617926673003</v>
      </c>
      <c r="H23" s="6">
        <f>(12268609.6*1.10231)/1000</f>
        <v>13523.811048175998</v>
      </c>
      <c r="I23" s="6">
        <f>SUM(I11:I22)</f>
        <v>52493.428974849005</v>
      </c>
      <c r="J23" s="6"/>
      <c r="K23" s="119"/>
      <c r="L23"/>
    </row>
    <row r="24" spans="1:12" ht="14.4">
      <c r="A24" s="21"/>
      <c r="B24" s="52"/>
      <c r="C24" s="6"/>
      <c r="D24" s="6"/>
      <c r="E24" s="6"/>
      <c r="F24" s="6"/>
      <c r="G24" s="6"/>
      <c r="H24" s="6"/>
      <c r="I24" s="6"/>
      <c r="J24" s="6"/>
      <c r="K24" s="119"/>
      <c r="L24"/>
    </row>
    <row r="25" spans="1:12" ht="14.4">
      <c r="A25" s="51" t="s">
        <v>54</v>
      </c>
      <c r="B25" s="52"/>
      <c r="C25" s="6"/>
      <c r="D25" s="6"/>
      <c r="E25" s="6"/>
      <c r="F25" s="6"/>
      <c r="G25" s="6"/>
      <c r="H25" s="6"/>
      <c r="I25" s="6"/>
      <c r="J25" s="6"/>
      <c r="K25" s="119"/>
      <c r="L25"/>
    </row>
    <row r="26" spans="1:12" ht="14.4">
      <c r="A26" s="21" t="s">
        <v>39</v>
      </c>
      <c r="B26" s="52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29" si="4">SUM(B26:D26)</f>
        <v>4978.4093192419996</v>
      </c>
      <c r="F26" s="6"/>
      <c r="G26" s="6">
        <f t="shared" ref="G26:G29" si="5">I26-H26</f>
        <v>3640.5241230109996</v>
      </c>
      <c r="H26" s="6">
        <f>(870600.1*1.10231)/1000</f>
        <v>959.67119623099984</v>
      </c>
      <c r="I26" s="5">
        <f t="shared" ref="I26:I29" si="6">E26-J26</f>
        <v>4600.1953192419996</v>
      </c>
      <c r="J26" s="6">
        <v>378.214</v>
      </c>
      <c r="K26" s="119"/>
      <c r="L26"/>
    </row>
    <row r="27" spans="1:12" ht="14.4">
      <c r="A27" s="21" t="s">
        <v>40</v>
      </c>
      <c r="B27" s="52">
        <f>J26</f>
        <v>378.214</v>
      </c>
      <c r="C27" s="6">
        <v>4469.9660000000003</v>
      </c>
      <c r="D27" s="6">
        <f>(53339.9*1.10231)/1000</f>
        <v>58.797105168999998</v>
      </c>
      <c r="E27" s="6">
        <f t="shared" si="4"/>
        <v>4906.9771051690004</v>
      </c>
      <c r="F27" s="6"/>
      <c r="G27" s="6">
        <f t="shared" si="5"/>
        <v>3305.9972672080012</v>
      </c>
      <c r="H27" s="6">
        <f>(1135683.1*1.10231)/1000</f>
        <v>1251.8748379609999</v>
      </c>
      <c r="I27" s="5">
        <f t="shared" si="6"/>
        <v>4557.8721051690009</v>
      </c>
      <c r="J27" s="6">
        <v>349.10500000000002</v>
      </c>
      <c r="K27" s="119"/>
      <c r="L27"/>
    </row>
    <row r="28" spans="1:12" ht="14.4">
      <c r="A28" s="21" t="s">
        <v>42</v>
      </c>
      <c r="B28" s="52">
        <f>J27</f>
        <v>349.10500000000002</v>
      </c>
      <c r="C28" s="6">
        <v>4437.4089999999997</v>
      </c>
      <c r="D28" s="6">
        <f>(32195.5*1.10231)/1000</f>
        <v>35.489421604999997</v>
      </c>
      <c r="E28" s="6">
        <f t="shared" si="4"/>
        <v>4822.0034216049989</v>
      </c>
      <c r="F28" s="6"/>
      <c r="G28" s="6">
        <f t="shared" si="5"/>
        <v>3048.1806654779984</v>
      </c>
      <c r="H28" s="6">
        <f>(1195621.7*1.10231)/1000</f>
        <v>1317.9457561269999</v>
      </c>
      <c r="I28" s="5">
        <f t="shared" si="6"/>
        <v>4366.1264216049985</v>
      </c>
      <c r="J28" s="6">
        <v>455.87700000000001</v>
      </c>
      <c r="K28" s="119"/>
      <c r="L28"/>
    </row>
    <row r="29" spans="1:12" ht="14.4">
      <c r="A29" s="15" t="s">
        <v>43</v>
      </c>
      <c r="B29" s="53">
        <f>J28</f>
        <v>455.87700000000001</v>
      </c>
      <c r="C29" s="44">
        <v>4540.9090000000006</v>
      </c>
      <c r="D29" s="44">
        <f>(87357.8*1.10231)/1000</f>
        <v>96.295376517999983</v>
      </c>
      <c r="E29" s="44">
        <f t="shared" si="4"/>
        <v>5093.081376518001</v>
      </c>
      <c r="F29" s="44"/>
      <c r="G29" s="44">
        <f t="shared" si="5"/>
        <v>3101.8863894670012</v>
      </c>
      <c r="H29" s="44">
        <f>(1404622.1*1.10231)/1000</f>
        <v>1548.3289870509998</v>
      </c>
      <c r="I29" s="59">
        <f t="shared" si="6"/>
        <v>4650.215376518001</v>
      </c>
      <c r="J29" s="44">
        <v>442.86599999999999</v>
      </c>
      <c r="K29" s="119"/>
      <c r="L29"/>
    </row>
    <row r="30" spans="1:12" ht="16.2">
      <c r="A30" s="54" t="s">
        <v>68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2" ht="14.4">
      <c r="A31" s="17" t="s">
        <v>69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2" ht="13.8">
      <c r="A32" s="23" t="s">
        <v>57</v>
      </c>
      <c r="B32" s="46">
        <f>Contents!A16</f>
        <v>44995</v>
      </c>
      <c r="C32" s="42"/>
      <c r="D32" s="36"/>
      <c r="E32" s="36"/>
      <c r="F32" s="36"/>
      <c r="G32" s="36"/>
      <c r="H32" s="36"/>
      <c r="I32" s="36"/>
      <c r="J32" s="36"/>
    </row>
    <row r="33" spans="1:10">
      <c r="A33" s="55"/>
      <c r="B33" s="56"/>
      <c r="C33" s="57"/>
      <c r="D33" s="56"/>
      <c r="E33" s="114"/>
      <c r="F33" s="56"/>
      <c r="G33" s="56"/>
      <c r="H33" s="58"/>
      <c r="I33" s="114"/>
      <c r="J33" s="56"/>
    </row>
    <row r="34" spans="1:10">
      <c r="A34" s="55"/>
      <c r="B34" s="56"/>
      <c r="C34" s="56"/>
      <c r="D34" s="56"/>
      <c r="E34" s="56"/>
      <c r="F34" s="56"/>
      <c r="G34" s="56"/>
      <c r="H34" s="56"/>
      <c r="I34" s="56"/>
      <c r="J34" s="56"/>
    </row>
    <row r="35" spans="1:10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>
      <c r="A36" s="55"/>
      <c r="B36" s="55"/>
      <c r="C36" s="55"/>
      <c r="D36" s="55"/>
      <c r="E36" s="55"/>
      <c r="F36" s="55"/>
      <c r="G36" s="55"/>
      <c r="H36" s="55"/>
      <c r="I36" s="55"/>
      <c r="J36" s="55"/>
    </row>
  </sheetData>
  <mergeCells count="3">
    <mergeCell ref="G2:I2"/>
    <mergeCell ref="B5:J5"/>
    <mergeCell ref="B2:E2"/>
  </mergeCells>
  <phoneticPr fontId="24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3"/>
  <sheetViews>
    <sheetView showGridLines="0" zoomScale="70" zoomScaleNormal="70" workbookViewId="0"/>
  </sheetViews>
  <sheetFormatPr defaultColWidth="9.109375" defaultRowHeight="13.2"/>
  <cols>
    <col min="1" max="1" width="15.44140625" style="16" customWidth="1"/>
    <col min="2" max="2" width="12.33203125" style="16" bestFit="1" customWidth="1"/>
    <col min="3" max="3" width="12.109375" style="16" bestFit="1" customWidth="1"/>
    <col min="4" max="4" width="11" style="16" bestFit="1" customWidth="1"/>
    <col min="5" max="5" width="11.33203125" style="16" bestFit="1" customWidth="1"/>
    <col min="6" max="6" width="3.6640625" style="16" customWidth="1"/>
    <col min="7" max="7" width="11.5546875" style="16" bestFit="1" customWidth="1"/>
    <col min="8" max="8" width="10.6640625" style="16" customWidth="1"/>
    <col min="9" max="9" width="12.6640625" style="16" customWidth="1"/>
    <col min="10" max="10" width="9.6640625" style="16" bestFit="1" customWidth="1"/>
    <col min="11" max="11" width="11.5546875" style="16" bestFit="1" customWidth="1"/>
    <col min="12" max="12" width="12.5546875" style="16" bestFit="1" customWidth="1"/>
    <col min="13" max="13" width="9.109375" style="16"/>
    <col min="14" max="14" width="11.109375" style="16" customWidth="1"/>
    <col min="15" max="16384" width="9.109375" style="16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7"/>
      <c r="B2" s="169" t="s">
        <v>58</v>
      </c>
      <c r="C2" s="169"/>
      <c r="D2" s="169"/>
      <c r="E2" s="169"/>
      <c r="F2" s="21"/>
      <c r="G2" s="169" t="s">
        <v>59</v>
      </c>
      <c r="H2" s="169"/>
      <c r="I2" s="169"/>
      <c r="J2" s="167"/>
      <c r="K2" s="167"/>
      <c r="L2" s="17"/>
    </row>
    <row r="3" spans="1:14" ht="13.8">
      <c r="A3" s="17" t="s">
        <v>17</v>
      </c>
      <c r="B3" s="19" t="s">
        <v>70</v>
      </c>
      <c r="C3" s="38" t="s">
        <v>26</v>
      </c>
      <c r="D3" s="38" t="s">
        <v>71</v>
      </c>
      <c r="E3" s="38" t="s">
        <v>63</v>
      </c>
      <c r="F3" s="38"/>
      <c r="G3" s="167" t="s">
        <v>64</v>
      </c>
      <c r="H3" s="167"/>
      <c r="I3" s="167"/>
      <c r="J3" s="38" t="s">
        <v>72</v>
      </c>
      <c r="K3" s="38" t="s">
        <v>63</v>
      </c>
      <c r="L3" s="38" t="s">
        <v>60</v>
      </c>
    </row>
    <row r="4" spans="1:14" ht="16.2">
      <c r="A4" s="24" t="s">
        <v>61</v>
      </c>
      <c r="B4" s="26" t="s">
        <v>62</v>
      </c>
      <c r="C4" s="27"/>
      <c r="D4" s="27"/>
      <c r="E4" s="27"/>
      <c r="F4" s="27"/>
      <c r="G4" s="26" t="s">
        <v>28</v>
      </c>
      <c r="H4" s="26" t="s">
        <v>73</v>
      </c>
      <c r="I4" s="26" t="s">
        <v>74</v>
      </c>
      <c r="J4" s="27"/>
      <c r="K4" s="27"/>
      <c r="L4" s="38" t="s">
        <v>66</v>
      </c>
    </row>
    <row r="5" spans="1:14" ht="14.4">
      <c r="A5" s="17"/>
      <c r="B5" s="171" t="s">
        <v>75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4" ht="13.8">
      <c r="A6" s="17" t="s">
        <v>34</v>
      </c>
      <c r="B6" s="50">
        <v>1852.675</v>
      </c>
      <c r="C6" s="50">
        <v>25022.667000000001</v>
      </c>
      <c r="D6" s="50">
        <v>301.5817074144</v>
      </c>
      <c r="E6" s="50">
        <f>SUM(B6:D6)</f>
        <v>27176.9237074144</v>
      </c>
      <c r="F6" s="50"/>
      <c r="G6" s="50">
        <f>K6-J6</f>
        <v>23314.332046145799</v>
      </c>
      <c r="H6" s="50">
        <v>8920.4621000000006</v>
      </c>
      <c r="I6" s="35">
        <v>14393.8697256836</v>
      </c>
      <c r="J6" s="50">
        <v>1731.3586612685999</v>
      </c>
      <c r="K6" s="50">
        <f>E6-L6</f>
        <v>25045.6907074144</v>
      </c>
      <c r="L6" s="50">
        <v>2131.2330000000002</v>
      </c>
      <c r="M6" s="109"/>
    </row>
    <row r="7" spans="1:14" ht="16.2">
      <c r="A7" s="17" t="s">
        <v>35</v>
      </c>
      <c r="B7" s="50">
        <f>L6</f>
        <v>2131.2330000000002</v>
      </c>
      <c r="C7" s="50">
        <f>C23</f>
        <v>26155.173000000003</v>
      </c>
      <c r="D7" s="50">
        <f>D23</f>
        <v>303.28830530459993</v>
      </c>
      <c r="E7" s="50">
        <f>E23</f>
        <v>28589.694305304602</v>
      </c>
      <c r="F7" s="50"/>
      <c r="G7" s="50">
        <f>K7-J7</f>
        <v>24825.1031737536</v>
      </c>
      <c r="H7" s="50">
        <v>10348.19</v>
      </c>
      <c r="I7" s="35">
        <f>G7-H7</f>
        <v>14476.913173753599</v>
      </c>
      <c r="J7" s="50">
        <f>J23</f>
        <v>1773.4431315509999</v>
      </c>
      <c r="K7" s="50">
        <f>E7-L7</f>
        <v>26598.546305304601</v>
      </c>
      <c r="L7" s="50">
        <f>L22</f>
        <v>1991.1480000000001</v>
      </c>
    </row>
    <row r="8" spans="1:14" ht="16.2">
      <c r="A8" s="17" t="s">
        <v>36</v>
      </c>
      <c r="B8" s="50">
        <f>L7</f>
        <v>1991.1480000000001</v>
      </c>
      <c r="C8" s="50">
        <v>26195</v>
      </c>
      <c r="D8" s="50">
        <v>300</v>
      </c>
      <c r="E8" s="50">
        <f>SUM(B8:D8)</f>
        <v>28486.148000000001</v>
      </c>
      <c r="F8" s="50"/>
      <c r="G8" s="50">
        <f>K8-J8</f>
        <v>26050</v>
      </c>
      <c r="H8" s="50">
        <v>11600</v>
      </c>
      <c r="I8" s="35">
        <f>G8-H8</f>
        <v>14450</v>
      </c>
      <c r="J8" s="50">
        <v>500</v>
      </c>
      <c r="K8" s="50">
        <f>E8-L8</f>
        <v>26550</v>
      </c>
      <c r="L8" s="50">
        <v>1936.148000000001</v>
      </c>
    </row>
    <row r="9" spans="1:14" ht="13.8">
      <c r="A9" s="17"/>
      <c r="B9" s="50"/>
      <c r="C9" s="50"/>
      <c r="D9" s="50"/>
      <c r="E9" s="50"/>
      <c r="F9" s="50"/>
      <c r="G9" s="50"/>
      <c r="H9" s="50"/>
      <c r="I9" s="110"/>
      <c r="J9" s="50"/>
      <c r="K9" s="50"/>
      <c r="L9" s="50"/>
    </row>
    <row r="10" spans="1:14" ht="13.8">
      <c r="A10" s="39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21" t="s">
        <v>39</v>
      </c>
      <c r="B11" s="5">
        <f>L6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24"/>
    </row>
    <row r="12" spans="1:14" ht="13.8">
      <c r="A12" s="21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24"/>
    </row>
    <row r="13" spans="1:14" ht="13.8">
      <c r="A13" s="21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63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24"/>
    </row>
    <row r="14" spans="1:14" ht="13.8">
      <c r="A14" s="21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63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24"/>
    </row>
    <row r="15" spans="1:14" ht="13.8">
      <c r="A15" s="21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63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24"/>
    </row>
    <row r="16" spans="1:14" ht="13.8">
      <c r="A16" s="21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63"/>
      <c r="G16" s="5">
        <f t="shared" si="1"/>
        <v>2165.6971246715998</v>
      </c>
      <c r="H16" s="6">
        <v>908.29</v>
      </c>
      <c r="I16" s="6">
        <f t="shared" si="2"/>
        <v>1257.4071246715998</v>
      </c>
      <c r="J16" s="6">
        <f>(120845.9*2204.622)/1000000</f>
        <v>266.41952974979995</v>
      </c>
      <c r="K16" s="6">
        <f t="shared" si="3"/>
        <v>2432.1166544213997</v>
      </c>
      <c r="L16" s="5">
        <v>2433.7180000000003</v>
      </c>
      <c r="N16" s="124"/>
    </row>
    <row r="17" spans="1:14" ht="13.8">
      <c r="A17" s="21" t="s">
        <v>47</v>
      </c>
      <c r="B17" s="5">
        <f t="shared" si="4"/>
        <v>2433.7180000000003</v>
      </c>
      <c r="C17" s="6">
        <v>2143.1179999999999</v>
      </c>
      <c r="D17" s="6">
        <f>(10668.4*2204.622)/1000000</f>
        <v>23.519789344799999</v>
      </c>
      <c r="E17" s="6">
        <f t="shared" si="5"/>
        <v>4600.3557893448005</v>
      </c>
      <c r="F17" s="63"/>
      <c r="G17" s="5">
        <f t="shared" si="1"/>
        <v>2008.0906443672006</v>
      </c>
      <c r="H17" s="6">
        <v>838.9</v>
      </c>
      <c r="I17" s="6">
        <f t="shared" si="2"/>
        <v>1169.1906443672005</v>
      </c>
      <c r="J17" s="6">
        <f>(76240.8*2204.622)/1000000</f>
        <v>168.0821449776</v>
      </c>
      <c r="K17" s="6">
        <f t="shared" si="3"/>
        <v>2176.1727893448005</v>
      </c>
      <c r="L17" s="5">
        <v>2424.183</v>
      </c>
      <c r="N17" s="124"/>
    </row>
    <row r="18" spans="1:14" ht="13.8">
      <c r="A18" s="21" t="s">
        <v>48</v>
      </c>
      <c r="B18" s="5">
        <f t="shared" si="4"/>
        <v>2424.183</v>
      </c>
      <c r="C18" s="6">
        <v>2158.7739999999999</v>
      </c>
      <c r="D18" s="125">
        <f>(11311.9*2204.622)/1000000</f>
        <v>24.938463601799999</v>
      </c>
      <c r="E18" s="6">
        <f t="shared" si="5"/>
        <v>4607.8954636018007</v>
      </c>
      <c r="F18" s="63"/>
      <c r="G18" s="5">
        <f t="shared" si="1"/>
        <v>2149.6321321876007</v>
      </c>
      <c r="H18" s="6">
        <v>855.57100000000003</v>
      </c>
      <c r="I18" s="6">
        <f t="shared" si="2"/>
        <v>1294.0611321876008</v>
      </c>
      <c r="J18" s="125">
        <f>(33516.1*2204.622)/1000000</f>
        <v>73.890331414199991</v>
      </c>
      <c r="K18" s="6">
        <f t="shared" si="3"/>
        <v>2223.5224636018006</v>
      </c>
      <c r="L18" s="5">
        <v>2384.373</v>
      </c>
      <c r="N18" s="124"/>
    </row>
    <row r="19" spans="1:14" ht="13.8">
      <c r="A19" s="21" t="s">
        <v>50</v>
      </c>
      <c r="B19" s="5">
        <f t="shared" si="4"/>
        <v>2384.373</v>
      </c>
      <c r="C19" s="6">
        <v>2068.578</v>
      </c>
      <c r="D19" s="125">
        <f>(10963.3*2204.622)/1000000</f>
        <v>24.169932372599998</v>
      </c>
      <c r="E19" s="6">
        <f t="shared" si="5"/>
        <v>4477.1209323725998</v>
      </c>
      <c r="F19" s="63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25">
        <f>(33184.7*2204.622)/1000000</f>
        <v>73.159719683399985</v>
      </c>
      <c r="K19" s="6">
        <f t="shared" si="3"/>
        <v>2161.6169323725999</v>
      </c>
      <c r="L19" s="5">
        <v>2315.5039999999999</v>
      </c>
      <c r="N19"/>
    </row>
    <row r="20" spans="1:14" ht="13.8">
      <c r="A20" s="21" t="s">
        <v>51</v>
      </c>
      <c r="B20" s="5">
        <f t="shared" si="4"/>
        <v>2315.5039999999999</v>
      </c>
      <c r="C20" s="6">
        <v>2169.9299999999998</v>
      </c>
      <c r="D20" s="125">
        <f>(11391.7*2204.622)/1000000</f>
        <v>25.114392437399999</v>
      </c>
      <c r="E20" s="6">
        <f t="shared" si="5"/>
        <v>4510.5483924373993</v>
      </c>
      <c r="F20" s="63"/>
      <c r="G20" s="5">
        <f t="shared" si="1"/>
        <v>2125.6014242047995</v>
      </c>
      <c r="H20" s="6">
        <v>956.48800000000006</v>
      </c>
      <c r="I20" s="6">
        <f t="shared" si="2"/>
        <v>1169.1134242047995</v>
      </c>
      <c r="J20" s="125">
        <f>(53593.3*2204.622)/1000000</f>
        <v>118.1529682326</v>
      </c>
      <c r="K20" s="6">
        <f t="shared" si="3"/>
        <v>2243.7543924373995</v>
      </c>
      <c r="L20" s="5">
        <v>2266.7939999999999</v>
      </c>
      <c r="N20"/>
    </row>
    <row r="21" spans="1:14" ht="13.8">
      <c r="A21" s="21" t="s">
        <v>52</v>
      </c>
      <c r="B21" s="5">
        <f t="shared" si="4"/>
        <v>2266.7939999999999</v>
      </c>
      <c r="C21" s="6">
        <v>2095.5810000000001</v>
      </c>
      <c r="D21" s="125">
        <f>(9641.3*2204.622)/1000000</f>
        <v>21.2554220886</v>
      </c>
      <c r="E21" s="6">
        <f t="shared" si="5"/>
        <v>4383.6304220886004</v>
      </c>
      <c r="F21" s="63"/>
      <c r="G21" s="5">
        <f t="shared" si="1"/>
        <v>2222.8252080034008</v>
      </c>
      <c r="H21" s="6">
        <v>924.71799999999996</v>
      </c>
      <c r="I21" s="6">
        <f t="shared" si="2"/>
        <v>1298.107208003401</v>
      </c>
      <c r="J21" s="125">
        <f>(25896.6*2204.622)/1000000</f>
        <v>57.092214085199991</v>
      </c>
      <c r="K21" s="6">
        <f t="shared" si="3"/>
        <v>2279.9174220886007</v>
      </c>
      <c r="L21" s="5">
        <v>2103.7129999999997</v>
      </c>
      <c r="N21"/>
    </row>
    <row r="22" spans="1:14" ht="13.8">
      <c r="A22" s="21" t="s">
        <v>38</v>
      </c>
      <c r="B22" s="5">
        <f t="shared" si="4"/>
        <v>2103.7129999999997</v>
      </c>
      <c r="C22" s="6">
        <v>1992.9639999999999</v>
      </c>
      <c r="D22" s="125">
        <f>(10329.4*2204.622)/1000000</f>
        <v>22.772422486799996</v>
      </c>
      <c r="E22" s="6">
        <f t="shared" si="5"/>
        <v>4119.4494224867994</v>
      </c>
      <c r="F22" s="63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25">
        <f>(20446.3*2204.622)/1000000</f>
        <v>45.076362798599995</v>
      </c>
      <c r="K22" s="6">
        <f t="shared" si="3"/>
        <v>2128.3014224867993</v>
      </c>
      <c r="L22" s="5">
        <v>1991.1480000000001</v>
      </c>
      <c r="N22"/>
    </row>
    <row r="23" spans="1:14" ht="13.8">
      <c r="A23" s="21" t="s">
        <v>28</v>
      </c>
      <c r="B23" s="5"/>
      <c r="C23" s="6">
        <f>SUM(C11:C22)</f>
        <v>26155.173000000003</v>
      </c>
      <c r="D23" s="6">
        <f>(137569.3*2204.622)/1000000</f>
        <v>303.28830530459993</v>
      </c>
      <c r="E23" s="6">
        <f>B11+C23+D23</f>
        <v>28589.694305304602</v>
      </c>
      <c r="F23" s="5"/>
      <c r="G23" s="5">
        <f>SUM(G11:G22)</f>
        <v>24825.102953291404</v>
      </c>
      <c r="H23" s="6">
        <f>SUM(H11:H22)</f>
        <v>10348.1917128</v>
      </c>
      <c r="I23" s="6">
        <f>SUM(I11:I22)</f>
        <v>14476.911240491401</v>
      </c>
      <c r="J23" s="6">
        <f>(804420.5*2204.622)/1000000</f>
        <v>1773.4431315509999</v>
      </c>
      <c r="K23" s="5">
        <f>SUM(K11:K22)</f>
        <v>26598.546305304601</v>
      </c>
      <c r="L23" s="5"/>
      <c r="N23"/>
    </row>
    <row r="24" spans="1:14" ht="13.8">
      <c r="A24" s="21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N24"/>
    </row>
    <row r="25" spans="1:14" ht="13.8">
      <c r="A25" s="5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N25"/>
    </row>
    <row r="26" spans="1:14" ht="13.8">
      <c r="A26" s="21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29" si="6">SUM(B26:D26)</f>
        <v>4358.9793032593998</v>
      </c>
      <c r="F26" s="5"/>
      <c r="G26" s="5">
        <f t="shared" ref="G26:G29" si="7">K26-J26</f>
        <v>2242.2710449107999</v>
      </c>
      <c r="H26" s="6">
        <v>906.40899999999999</v>
      </c>
      <c r="I26" s="6">
        <f t="shared" ref="I26:I28" si="8">G26-H26</f>
        <v>1335.8620449107998</v>
      </c>
      <c r="J26" s="6">
        <f>(10471.3*2204.622)/1000000</f>
        <v>23.085258348599996</v>
      </c>
      <c r="K26" s="6">
        <f t="shared" ref="K26:K29" si="9">E26-L26</f>
        <v>2265.3563032593997</v>
      </c>
      <c r="L26" s="5">
        <v>2093.623</v>
      </c>
      <c r="N26"/>
    </row>
    <row r="27" spans="1:14" ht="13.8">
      <c r="A27" s="21" t="s">
        <v>40</v>
      </c>
      <c r="B27" s="5">
        <f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2183.7515713444004</v>
      </c>
      <c r="H27" s="6">
        <v>943.34192259999998</v>
      </c>
      <c r="I27" s="6">
        <f t="shared" si="8"/>
        <v>1240.4096487444003</v>
      </c>
      <c r="J27" s="6">
        <f>(10634.4*2204.622)/1000000</f>
        <v>23.444832196799997</v>
      </c>
      <c r="K27" s="6">
        <f t="shared" si="9"/>
        <v>2207.1964035412002</v>
      </c>
      <c r="L27" s="5">
        <v>2112.2809999999999</v>
      </c>
      <c r="N27"/>
    </row>
    <row r="28" spans="1:14" ht="13.8">
      <c r="A28" s="21" t="s">
        <v>42</v>
      </c>
      <c r="B28" s="5">
        <f>L27</f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1989.4369064418004</v>
      </c>
      <c r="H28" s="6">
        <v>885.4429075999999</v>
      </c>
      <c r="I28" s="6">
        <f t="shared" si="8"/>
        <v>1103.9939988418005</v>
      </c>
      <c r="J28" s="6">
        <f>(15720.5*2204.622)/1000000</f>
        <v>34.657760150999998</v>
      </c>
      <c r="K28" s="6">
        <f t="shared" si="9"/>
        <v>2024.0946665928004</v>
      </c>
      <c r="L28" s="5">
        <v>2306.1469999999999</v>
      </c>
      <c r="N28"/>
    </row>
    <row r="29" spans="1:14" ht="13.8">
      <c r="A29" s="15" t="s">
        <v>43</v>
      </c>
      <c r="B29" s="59">
        <f>L28</f>
        <v>2306.1469999999999</v>
      </c>
      <c r="C29" s="44">
        <v>2252.3119999999999</v>
      </c>
      <c r="D29" s="44">
        <f>(11450.2*2204.622)/1000000</f>
        <v>25.243362824400002</v>
      </c>
      <c r="E29" s="44">
        <f t="shared" si="6"/>
        <v>4583.7023628243996</v>
      </c>
      <c r="F29" s="59"/>
      <c r="G29" s="59">
        <f t="shared" si="7"/>
        <v>2211.8930392041998</v>
      </c>
      <c r="H29" s="44" t="s">
        <v>76</v>
      </c>
      <c r="I29" s="44" t="s">
        <v>76</v>
      </c>
      <c r="J29" s="44">
        <f>(6989.1*2204.622)/1000000</f>
        <v>15.408323620199999</v>
      </c>
      <c r="K29" s="44">
        <f t="shared" si="9"/>
        <v>2227.3013628243998</v>
      </c>
      <c r="L29" s="59">
        <v>2356.4009999999998</v>
      </c>
      <c r="N29"/>
    </row>
    <row r="30" spans="1:14" ht="16.2">
      <c r="A30" s="54" t="s">
        <v>77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14.4">
      <c r="A31" s="17" t="s">
        <v>69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4" ht="13.8">
      <c r="A32" s="23" t="s">
        <v>57</v>
      </c>
      <c r="B32" s="46">
        <f>Contents!A16</f>
        <v>44995</v>
      </c>
      <c r="K32" s="43"/>
    </row>
    <row r="33" spans="5:5">
      <c r="E33" s="43"/>
    </row>
  </sheetData>
  <mergeCells count="3">
    <mergeCell ref="B5:L5"/>
    <mergeCell ref="G2:I2"/>
    <mergeCell ref="B2:E2"/>
  </mergeCells>
  <phoneticPr fontId="24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style="16" customWidth="1"/>
    <col min="2" max="2" width="13.109375" style="16" customWidth="1"/>
    <col min="3" max="3" width="12.109375" style="16" customWidth="1"/>
    <col min="4" max="4" width="13.44140625" style="16" customWidth="1"/>
    <col min="5" max="5" width="15.33203125" style="16" customWidth="1"/>
    <col min="6" max="6" width="11.44140625" style="16" customWidth="1"/>
    <col min="7" max="7" width="11.6640625" style="16" customWidth="1"/>
    <col min="8" max="8" width="8.6640625" style="16" customWidth="1"/>
    <col min="9" max="9" width="9.6640625" style="16" customWidth="1"/>
    <col min="10" max="11" width="7.6640625" style="16" customWidth="1"/>
    <col min="12" max="12" width="8.5546875" style="16" customWidth="1"/>
    <col min="13" max="13" width="9.5546875" style="16" customWidth="1"/>
    <col min="14" max="15" width="7.5546875" style="16" customWidth="1"/>
    <col min="16" max="18" width="9.109375" style="16"/>
    <col min="19" max="19" width="17.44140625" style="16" bestFit="1" customWidth="1"/>
    <col min="20" max="20" width="9.109375" style="16"/>
    <col min="21" max="21" width="28.33203125" style="16" bestFit="1" customWidth="1"/>
    <col min="22" max="16384" width="9.109375" style="16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13.8">
      <c r="A2" s="17"/>
      <c r="B2" s="169" t="s">
        <v>58</v>
      </c>
      <c r="C2" s="169"/>
      <c r="D2" s="169"/>
      <c r="E2" s="169"/>
      <c r="F2" s="90"/>
      <c r="G2" s="169" t="s">
        <v>59</v>
      </c>
      <c r="H2" s="169"/>
      <c r="I2" s="169"/>
      <c r="J2" s="169"/>
      <c r="K2" s="90"/>
      <c r="L2" s="17"/>
      <c r="M2" s="17"/>
      <c r="N2" s="17"/>
      <c r="O2" s="17"/>
    </row>
    <row r="3" spans="1:15" ht="13.8">
      <c r="A3" s="17" t="s">
        <v>17</v>
      </c>
      <c r="B3" s="23" t="s">
        <v>70</v>
      </c>
      <c r="C3" s="23"/>
      <c r="D3" s="23"/>
      <c r="E3" s="23"/>
      <c r="F3" s="91"/>
      <c r="G3" s="23"/>
      <c r="H3" s="23"/>
      <c r="I3" s="23"/>
      <c r="J3" s="23"/>
      <c r="K3" s="19" t="s">
        <v>60</v>
      </c>
      <c r="L3" s="17"/>
      <c r="M3" s="17"/>
      <c r="N3" s="17"/>
      <c r="O3" s="17"/>
    </row>
    <row r="4" spans="1:15" ht="13.8">
      <c r="A4" s="24" t="s">
        <v>78</v>
      </c>
      <c r="B4" s="26" t="s">
        <v>79</v>
      </c>
      <c r="C4" s="73" t="s">
        <v>26</v>
      </c>
      <c r="D4" s="28" t="s">
        <v>71</v>
      </c>
      <c r="E4" s="26" t="s">
        <v>80</v>
      </c>
      <c r="F4" s="27"/>
      <c r="G4" s="26" t="s">
        <v>81</v>
      </c>
      <c r="H4" s="26" t="s">
        <v>30</v>
      </c>
      <c r="I4" s="26" t="s">
        <v>82</v>
      </c>
      <c r="J4" s="26" t="s">
        <v>83</v>
      </c>
      <c r="K4" s="26" t="s">
        <v>62</v>
      </c>
      <c r="L4" s="17"/>
      <c r="M4" s="17"/>
      <c r="N4" s="17"/>
      <c r="O4" s="17"/>
    </row>
    <row r="5" spans="1:15" ht="14.4">
      <c r="A5" s="17"/>
      <c r="B5" s="172" t="s">
        <v>84</v>
      </c>
      <c r="C5" s="172"/>
      <c r="D5" s="172"/>
      <c r="E5" s="172"/>
      <c r="F5" s="172"/>
      <c r="G5" s="172"/>
      <c r="H5" s="172"/>
      <c r="I5" s="172"/>
      <c r="J5" s="172"/>
      <c r="K5" s="172"/>
      <c r="L5" s="17"/>
      <c r="M5" s="17"/>
      <c r="N5" s="17"/>
      <c r="O5" s="17"/>
    </row>
    <row r="6" spans="1:15" ht="13.8">
      <c r="A6" s="21" t="s">
        <v>34</v>
      </c>
      <c r="B6" s="93">
        <v>456.0068619717149</v>
      </c>
      <c r="C6" s="93">
        <v>4468</v>
      </c>
      <c r="D6" s="94">
        <v>1</v>
      </c>
      <c r="E6" s="93">
        <f>B6+C6+D6</f>
        <v>4925.0068619717149</v>
      </c>
      <c r="F6" s="95"/>
      <c r="G6" s="93">
        <v>1562.7429999999999</v>
      </c>
      <c r="H6" s="96">
        <v>279.55399999999997</v>
      </c>
      <c r="I6" s="93">
        <f>J6-G6-H6</f>
        <v>2687.0673090269106</v>
      </c>
      <c r="J6" s="93">
        <f>E6-K6</f>
        <v>4529.3643090269106</v>
      </c>
      <c r="K6" s="93">
        <v>395.64255294480427</v>
      </c>
      <c r="L6" s="17"/>
      <c r="M6" s="17"/>
      <c r="N6" s="17"/>
      <c r="O6" s="17"/>
    </row>
    <row r="7" spans="1:15" ht="16.2">
      <c r="A7" s="21" t="s">
        <v>35</v>
      </c>
      <c r="B7" s="93">
        <f>K6</f>
        <v>395.64255294480427</v>
      </c>
      <c r="C7" s="93">
        <v>5323</v>
      </c>
      <c r="D7" s="94">
        <v>24.765738432900992</v>
      </c>
      <c r="E7" s="93">
        <f>B7+C7+D7</f>
        <v>5743.4082913777056</v>
      </c>
      <c r="F7" s="95"/>
      <c r="G7" s="93">
        <v>1556.9839999999999</v>
      </c>
      <c r="H7" s="96">
        <v>297.69790855776995</v>
      </c>
      <c r="I7" s="93">
        <f>J7-G7-H7</f>
        <v>3493.8003828199353</v>
      </c>
      <c r="J7" s="93">
        <f>E7-K7</f>
        <v>5348.4822913777052</v>
      </c>
      <c r="K7" s="93">
        <v>394.92599999999999</v>
      </c>
      <c r="L7" s="17"/>
      <c r="M7" s="17"/>
      <c r="N7" s="17"/>
      <c r="O7" s="17"/>
    </row>
    <row r="8" spans="1:15" ht="16.2">
      <c r="A8" s="15" t="s">
        <v>36</v>
      </c>
      <c r="B8" s="97">
        <f>K7</f>
        <v>394.92599999999999</v>
      </c>
      <c r="C8" s="97">
        <v>4455</v>
      </c>
      <c r="D8" s="98">
        <v>55</v>
      </c>
      <c r="E8" s="97">
        <f>B8+C8+D8</f>
        <v>4904.9260000000004</v>
      </c>
      <c r="F8" s="99"/>
      <c r="G8" s="97">
        <v>1500</v>
      </c>
      <c r="H8" s="100">
        <v>200</v>
      </c>
      <c r="I8" s="97">
        <f>J8-G8-H8</f>
        <v>2781.999617180064</v>
      </c>
      <c r="J8" s="97">
        <f>E8-K8</f>
        <v>4481.999617180064</v>
      </c>
      <c r="K8" s="97">
        <v>422.92638281993641</v>
      </c>
      <c r="L8" s="17"/>
      <c r="M8" s="17"/>
      <c r="N8" s="17"/>
      <c r="O8" s="17"/>
    </row>
    <row r="9" spans="1:15" ht="16.2">
      <c r="A9" s="54" t="s">
        <v>85</v>
      </c>
      <c r="B9" s="17"/>
      <c r="C9" s="92"/>
      <c r="D9" s="92"/>
      <c r="E9" s="92"/>
      <c r="F9" s="92"/>
      <c r="G9" s="101"/>
      <c r="H9" s="92"/>
      <c r="I9" s="92"/>
      <c r="J9" s="92"/>
      <c r="K9" s="17"/>
      <c r="L9" s="17"/>
      <c r="M9" s="17"/>
      <c r="N9" s="17"/>
      <c r="O9" s="17"/>
    </row>
    <row r="10" spans="1:15" ht="14.4">
      <c r="A10" s="17" t="s">
        <v>86</v>
      </c>
      <c r="B10" s="36"/>
      <c r="C10" s="42"/>
      <c r="D10" s="17"/>
      <c r="E10" s="36"/>
      <c r="F10" s="36"/>
      <c r="G10" s="36"/>
      <c r="H10" s="36"/>
      <c r="I10" s="36"/>
      <c r="J10" s="36"/>
      <c r="K10" s="17"/>
      <c r="L10" s="17"/>
      <c r="M10" s="17"/>
      <c r="N10" s="17"/>
      <c r="O10" s="17"/>
    </row>
    <row r="11" spans="1:15" ht="14.4">
      <c r="A11" s="17" t="s">
        <v>87</v>
      </c>
      <c r="B11" s="36"/>
      <c r="C11" s="42"/>
      <c r="D11" s="17"/>
      <c r="E11" s="36"/>
      <c r="F11" s="36"/>
      <c r="G11" s="36"/>
      <c r="H11" s="36"/>
      <c r="I11" s="36"/>
      <c r="J11" s="36"/>
      <c r="K11" s="17"/>
      <c r="L11" s="17"/>
      <c r="M11" s="17"/>
      <c r="N11" s="17"/>
      <c r="O11" s="17"/>
    </row>
    <row r="12" spans="1:15" ht="13.8">
      <c r="A12" s="17"/>
      <c r="B12" s="36"/>
      <c r="C12" s="42"/>
      <c r="D12" s="17"/>
      <c r="E12" s="36"/>
      <c r="F12" s="36"/>
      <c r="G12" s="36"/>
      <c r="H12" s="36"/>
      <c r="I12" s="36"/>
      <c r="J12" s="36"/>
      <c r="K12" s="17"/>
      <c r="L12" s="17"/>
      <c r="M12" s="17"/>
      <c r="N12" s="17"/>
      <c r="O12" s="17"/>
    </row>
    <row r="13" spans="1:15" ht="13.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7"/>
      <c r="J14" s="15"/>
      <c r="K14" s="17"/>
      <c r="L14" s="17"/>
      <c r="M14" s="17"/>
      <c r="N14" s="17"/>
      <c r="O14" s="17"/>
    </row>
    <row r="15" spans="1:15" ht="13.8">
      <c r="A15" s="17"/>
      <c r="B15" s="169" t="s">
        <v>58</v>
      </c>
      <c r="C15" s="169"/>
      <c r="D15" s="169"/>
      <c r="E15" s="169"/>
      <c r="F15" s="17"/>
      <c r="G15" s="169" t="s">
        <v>59</v>
      </c>
      <c r="H15" s="169"/>
      <c r="I15" s="169"/>
      <c r="J15" s="17"/>
      <c r="K15" s="17"/>
      <c r="L15" s="17"/>
      <c r="M15" s="17"/>
      <c r="N15" s="17"/>
      <c r="O15" s="17"/>
    </row>
    <row r="16" spans="1:15" ht="13.8">
      <c r="A16" s="17" t="s">
        <v>17</v>
      </c>
      <c r="B16" s="19" t="s">
        <v>70</v>
      </c>
      <c r="C16" s="23"/>
      <c r="D16" s="23"/>
      <c r="E16" s="23"/>
      <c r="F16" s="23"/>
      <c r="G16" s="23"/>
      <c r="H16" s="23"/>
      <c r="I16" s="23"/>
      <c r="J16" s="19" t="s">
        <v>60</v>
      </c>
      <c r="K16" s="17"/>
      <c r="L16" s="17"/>
      <c r="M16" s="17"/>
      <c r="N16" s="17"/>
      <c r="O16" s="17"/>
    </row>
    <row r="17" spans="1:15" ht="13.8">
      <c r="A17" s="24" t="s">
        <v>61</v>
      </c>
      <c r="B17" s="26" t="s">
        <v>62</v>
      </c>
      <c r="C17" s="73" t="s">
        <v>26</v>
      </c>
      <c r="D17" s="28" t="s">
        <v>71</v>
      </c>
      <c r="E17" s="26" t="s">
        <v>83</v>
      </c>
      <c r="F17" s="27"/>
      <c r="G17" s="93" t="s">
        <v>88</v>
      </c>
      <c r="H17" s="26" t="s">
        <v>30</v>
      </c>
      <c r="I17" s="28" t="s">
        <v>63</v>
      </c>
      <c r="J17" s="26" t="s">
        <v>62</v>
      </c>
      <c r="K17" s="17"/>
      <c r="L17" s="17"/>
      <c r="M17" s="17"/>
      <c r="N17" s="17"/>
      <c r="O17" s="17"/>
    </row>
    <row r="18" spans="1:15" ht="14.4">
      <c r="A18" s="17"/>
      <c r="B18" s="172" t="s">
        <v>89</v>
      </c>
      <c r="C18" s="172"/>
      <c r="D18" s="172"/>
      <c r="E18" s="172"/>
      <c r="F18" s="172"/>
      <c r="G18" s="172"/>
      <c r="H18" s="172"/>
      <c r="I18" s="172"/>
      <c r="J18" s="172"/>
      <c r="K18" s="17"/>
      <c r="L18" s="17"/>
      <c r="M18" s="17"/>
      <c r="N18" s="17"/>
      <c r="O18" s="17"/>
    </row>
    <row r="19" spans="1:15" ht="13.8">
      <c r="A19" s="21" t="s">
        <v>34</v>
      </c>
      <c r="B19" s="93">
        <v>24.872</v>
      </c>
      <c r="C19" s="96">
        <v>648.57100000000003</v>
      </c>
      <c r="D19" s="94">
        <v>0</v>
      </c>
      <c r="E19" s="96">
        <f>B19+C19+D19</f>
        <v>673.44299999999998</v>
      </c>
      <c r="F19" s="95"/>
      <c r="G19" s="96">
        <v>573.37699999999995</v>
      </c>
      <c r="H19" s="96">
        <v>60.759509638330982</v>
      </c>
      <c r="I19" s="96">
        <f>SUM(G19:H19)</f>
        <v>634.13650963833095</v>
      </c>
      <c r="J19" s="93">
        <v>39.305999999999997</v>
      </c>
      <c r="K19" s="17"/>
      <c r="L19" s="17"/>
      <c r="M19" s="17"/>
      <c r="N19" s="17"/>
      <c r="O19" s="17"/>
    </row>
    <row r="20" spans="1:15" ht="16.2">
      <c r="A20" s="21" t="s">
        <v>35</v>
      </c>
      <c r="B20" s="93">
        <f>J19</f>
        <v>39.305999999999997</v>
      </c>
      <c r="C20" s="96">
        <v>695</v>
      </c>
      <c r="D20" s="132">
        <v>0.10141264051999997</v>
      </c>
      <c r="E20" s="96">
        <f>B20+C20+D20</f>
        <v>734.40741264052008</v>
      </c>
      <c r="F20" s="95"/>
      <c r="G20" s="96">
        <f>E20-J20-H20</f>
        <v>658.743182863843</v>
      </c>
      <c r="H20" s="96">
        <v>53.348229776676988</v>
      </c>
      <c r="I20" s="96">
        <f>SUM(G20:H20)</f>
        <v>712.09141264052005</v>
      </c>
      <c r="J20" s="93">
        <v>22.315999999999999</v>
      </c>
      <c r="K20" s="17"/>
      <c r="L20" s="17"/>
      <c r="M20" s="17"/>
      <c r="N20" s="17"/>
      <c r="O20" s="17"/>
    </row>
    <row r="21" spans="1:15" ht="16.2">
      <c r="A21" s="15" t="s">
        <v>36</v>
      </c>
      <c r="B21" s="97">
        <f>J20</f>
        <v>22.315999999999999</v>
      </c>
      <c r="C21" s="100">
        <v>640</v>
      </c>
      <c r="D21" s="98">
        <v>0</v>
      </c>
      <c r="E21" s="100">
        <f>B21+C21+D21</f>
        <v>662.31600000000003</v>
      </c>
      <c r="F21" s="99"/>
      <c r="G21" s="100">
        <f>E21-J21-H21</f>
        <v>562.31600000000003</v>
      </c>
      <c r="H21" s="100">
        <v>60</v>
      </c>
      <c r="I21" s="100">
        <f>SUM(G21:H21)</f>
        <v>622.31600000000003</v>
      </c>
      <c r="J21" s="97">
        <v>40</v>
      </c>
      <c r="K21" s="17"/>
      <c r="L21" s="17"/>
      <c r="M21" s="17"/>
      <c r="N21" s="17"/>
      <c r="O21" s="17"/>
    </row>
    <row r="22" spans="1:15" ht="16.2">
      <c r="A22" s="54" t="s">
        <v>85</v>
      </c>
      <c r="B22" s="17"/>
      <c r="C22" s="92"/>
      <c r="D22" s="92"/>
      <c r="E22" s="92"/>
      <c r="F22" s="92"/>
      <c r="G22" s="92"/>
      <c r="H22" s="92"/>
      <c r="I22" s="17"/>
      <c r="J22" s="17"/>
      <c r="K22" s="17"/>
      <c r="L22" s="17"/>
      <c r="M22" s="17"/>
      <c r="N22" s="17"/>
      <c r="O22" s="17"/>
    </row>
    <row r="23" spans="1:15" ht="14.4">
      <c r="A23" s="17" t="s">
        <v>90</v>
      </c>
      <c r="B23" s="95"/>
      <c r="C23" s="95"/>
      <c r="D23" s="95"/>
      <c r="E23" s="95"/>
      <c r="F23" s="95"/>
      <c r="G23" s="95"/>
      <c r="H23" s="95"/>
      <c r="I23" s="17"/>
      <c r="J23" s="17"/>
      <c r="K23" s="17"/>
      <c r="L23" s="17"/>
      <c r="M23" s="17"/>
      <c r="N23" s="17"/>
      <c r="O23" s="17"/>
    </row>
    <row r="24" spans="1:15" ht="13.8">
      <c r="A24" s="21"/>
      <c r="B24" s="36"/>
      <c r="C24" s="36"/>
      <c r="D24" s="36"/>
      <c r="E24" s="36"/>
      <c r="F24" s="36"/>
      <c r="G24" s="36"/>
      <c r="H24" s="36"/>
      <c r="I24" s="17"/>
      <c r="J24" s="17"/>
      <c r="K24" s="17"/>
      <c r="L24" s="17"/>
      <c r="M24" s="17"/>
      <c r="N24" s="17"/>
      <c r="O24" s="17"/>
    </row>
    <row r="25" spans="1:15" ht="13.8">
      <c r="A25" s="21"/>
      <c r="B25" s="36"/>
      <c r="C25" s="42"/>
      <c r="D25" s="36"/>
      <c r="E25" s="36"/>
      <c r="F25" s="36"/>
      <c r="G25" s="36"/>
      <c r="H25" s="36"/>
      <c r="I25" s="17"/>
      <c r="J25" s="17"/>
      <c r="K25" s="17"/>
      <c r="L25" s="17"/>
      <c r="M25" s="17"/>
      <c r="N25" s="17"/>
      <c r="O25" s="17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7"/>
      <c r="J26" s="15"/>
      <c r="K26" s="17"/>
      <c r="L26" s="17"/>
      <c r="M26" s="17"/>
      <c r="N26" s="17"/>
      <c r="O26" s="17"/>
    </row>
    <row r="27" spans="1:15" ht="13.8">
      <c r="A27" s="17"/>
      <c r="B27" s="169" t="s">
        <v>58</v>
      </c>
      <c r="C27" s="169"/>
      <c r="D27" s="169"/>
      <c r="E27" s="169"/>
      <c r="F27" s="17"/>
      <c r="G27" s="169" t="s">
        <v>59</v>
      </c>
      <c r="H27" s="169"/>
      <c r="I27" s="169"/>
      <c r="J27" s="17"/>
      <c r="K27" s="17"/>
      <c r="L27" s="17"/>
      <c r="M27" s="17"/>
      <c r="N27" s="17"/>
      <c r="O27" s="17"/>
    </row>
    <row r="28" spans="1:15" ht="13.8">
      <c r="A28" s="17" t="s">
        <v>17</v>
      </c>
      <c r="B28" s="19" t="s">
        <v>70</v>
      </c>
      <c r="C28" s="23"/>
      <c r="D28" s="23"/>
      <c r="E28" s="23"/>
      <c r="F28" s="23"/>
      <c r="G28" s="23"/>
      <c r="H28" s="23"/>
      <c r="I28" s="23"/>
      <c r="J28" s="19" t="s">
        <v>60</v>
      </c>
      <c r="K28" s="17"/>
      <c r="L28" s="17"/>
      <c r="M28" s="17"/>
      <c r="N28" s="17"/>
      <c r="O28" s="17"/>
    </row>
    <row r="29" spans="1:15" ht="13.8">
      <c r="A29" s="24" t="s">
        <v>61</v>
      </c>
      <c r="B29" s="26" t="s">
        <v>62</v>
      </c>
      <c r="C29" s="26" t="s">
        <v>26</v>
      </c>
      <c r="D29" s="28" t="s">
        <v>71</v>
      </c>
      <c r="E29" s="26" t="s">
        <v>83</v>
      </c>
      <c r="F29" s="27"/>
      <c r="G29" s="26" t="s">
        <v>64</v>
      </c>
      <c r="H29" s="26" t="s">
        <v>30</v>
      </c>
      <c r="I29" s="26" t="s">
        <v>63</v>
      </c>
      <c r="J29" s="26" t="s">
        <v>66</v>
      </c>
      <c r="K29" s="17"/>
      <c r="L29" s="17"/>
      <c r="M29" s="17"/>
      <c r="N29" s="17"/>
      <c r="O29" s="17"/>
    </row>
    <row r="30" spans="1:15" ht="14.4">
      <c r="A30" s="17"/>
      <c r="B30" s="172" t="s">
        <v>91</v>
      </c>
      <c r="C30" s="172"/>
      <c r="D30" s="172"/>
      <c r="E30" s="172"/>
      <c r="F30" s="172"/>
      <c r="G30" s="172"/>
      <c r="H30" s="172"/>
      <c r="I30" s="172"/>
      <c r="J30" s="172"/>
      <c r="K30" s="17"/>
      <c r="L30" s="17"/>
      <c r="M30" s="17"/>
      <c r="N30" s="17"/>
      <c r="O30" s="17"/>
    </row>
    <row r="31" spans="1:15" ht="13.8">
      <c r="A31" s="21" t="s">
        <v>34</v>
      </c>
      <c r="B31" s="94">
        <v>44.537999999999997</v>
      </c>
      <c r="C31" s="96">
        <v>399.91800000000001</v>
      </c>
      <c r="D31" s="94">
        <v>21.365218272682</v>
      </c>
      <c r="E31" s="102">
        <f>B31+C31+D31</f>
        <v>465.82121827268202</v>
      </c>
      <c r="F31" s="95"/>
      <c r="G31" s="96">
        <f>I31-H31</f>
        <v>354.93667903513006</v>
      </c>
      <c r="H31" s="96">
        <v>62.676539237551999</v>
      </c>
      <c r="I31" s="96">
        <f>E31-J31</f>
        <v>417.61321827268205</v>
      </c>
      <c r="J31" s="96">
        <v>48.207999999999998</v>
      </c>
      <c r="K31" s="17"/>
      <c r="L31" s="17"/>
      <c r="M31" s="17"/>
      <c r="N31" s="17"/>
      <c r="O31" s="17"/>
    </row>
    <row r="32" spans="1:15" ht="16.2">
      <c r="A32" s="21" t="s">
        <v>35</v>
      </c>
      <c r="B32" s="94">
        <f>J31</f>
        <v>48.207999999999998</v>
      </c>
      <c r="C32" s="96">
        <v>430</v>
      </c>
      <c r="D32" s="94">
        <v>24.878284417651997</v>
      </c>
      <c r="E32" s="102">
        <f>B32+C32+D32</f>
        <v>503.086284417652</v>
      </c>
      <c r="F32" s="95"/>
      <c r="G32" s="96">
        <f>I32-H32</f>
        <v>325.59072038149202</v>
      </c>
      <c r="H32" s="96">
        <v>127.79756403616</v>
      </c>
      <c r="I32" s="96">
        <f>E32-J32</f>
        <v>453.38828441765202</v>
      </c>
      <c r="J32" s="96">
        <v>49.698</v>
      </c>
      <c r="K32" s="17"/>
      <c r="L32" s="17"/>
      <c r="M32" s="17"/>
      <c r="N32" s="17"/>
      <c r="O32" s="17"/>
    </row>
    <row r="33" spans="1:17" ht="16.2">
      <c r="A33" s="15" t="s">
        <v>36</v>
      </c>
      <c r="B33" s="98">
        <f>J32</f>
        <v>49.698</v>
      </c>
      <c r="C33" s="100">
        <v>400</v>
      </c>
      <c r="D33" s="98">
        <v>20</v>
      </c>
      <c r="E33" s="103">
        <f>B33+C33+D33</f>
        <v>469.69799999999998</v>
      </c>
      <c r="F33" s="99"/>
      <c r="G33" s="100">
        <f>I33-H33</f>
        <v>354.69799999999998</v>
      </c>
      <c r="H33" s="100">
        <v>65</v>
      </c>
      <c r="I33" s="100">
        <f>E33-J33</f>
        <v>419.69799999999998</v>
      </c>
      <c r="J33" s="100">
        <v>50</v>
      </c>
      <c r="K33" s="17"/>
      <c r="L33" s="17"/>
      <c r="M33" s="17"/>
      <c r="N33" s="17"/>
      <c r="O33" s="17"/>
    </row>
    <row r="34" spans="1:17" ht="16.2">
      <c r="A34" s="54" t="s">
        <v>85</v>
      </c>
      <c r="B34" s="17"/>
      <c r="C34" s="92"/>
      <c r="D34" s="92"/>
      <c r="E34" s="92"/>
      <c r="F34" s="92"/>
      <c r="G34" s="92"/>
      <c r="H34" s="92"/>
      <c r="I34" s="17"/>
      <c r="J34" s="17"/>
      <c r="K34" s="17"/>
      <c r="L34" s="17"/>
      <c r="M34" s="17"/>
      <c r="N34" s="17"/>
      <c r="O34" s="17"/>
    </row>
    <row r="35" spans="1:17" ht="14.4">
      <c r="A35" s="17" t="s">
        <v>90</v>
      </c>
      <c r="B35" s="36"/>
      <c r="C35" s="42"/>
      <c r="D35" s="36"/>
      <c r="E35" s="36"/>
      <c r="F35" s="36"/>
      <c r="G35" s="36"/>
      <c r="H35" s="36"/>
      <c r="I35" s="17"/>
      <c r="J35" s="17"/>
      <c r="K35" s="17"/>
      <c r="L35" s="17"/>
      <c r="M35" s="17"/>
      <c r="N35" s="17"/>
      <c r="O35" s="17"/>
    </row>
    <row r="36" spans="1:17" ht="13.8">
      <c r="A36" s="21"/>
      <c r="B36" s="21"/>
      <c r="C36" s="21"/>
      <c r="D36" s="21"/>
      <c r="E36" s="21"/>
      <c r="F36" s="21"/>
      <c r="G36" s="21"/>
      <c r="H36" s="21"/>
      <c r="I36" s="17"/>
      <c r="J36" s="17"/>
      <c r="K36" s="17"/>
      <c r="L36" s="17"/>
      <c r="M36" s="17"/>
      <c r="N36" s="17"/>
      <c r="O36" s="17"/>
    </row>
    <row r="37" spans="1:17" ht="13.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7"/>
      <c r="K38" s="17"/>
      <c r="L38" s="17"/>
      <c r="M38" s="17"/>
      <c r="N38" s="17"/>
      <c r="O38" s="17"/>
    </row>
    <row r="39" spans="1:17" ht="13.8">
      <c r="A39" s="17"/>
      <c r="B39" s="169" t="s">
        <v>13</v>
      </c>
      <c r="C39" s="169"/>
      <c r="D39" s="19" t="s">
        <v>14</v>
      </c>
      <c r="E39" s="169" t="s">
        <v>15</v>
      </c>
      <c r="F39" s="169"/>
      <c r="G39" s="169"/>
      <c r="H39" s="169"/>
      <c r="I39" s="17"/>
      <c r="J39" s="169" t="s">
        <v>59</v>
      </c>
      <c r="K39" s="169"/>
      <c r="L39" s="169"/>
      <c r="M39" s="169"/>
      <c r="N39" s="169"/>
      <c r="O39" s="90"/>
    </row>
    <row r="40" spans="1:17" ht="13.8">
      <c r="A40" s="17" t="s">
        <v>17</v>
      </c>
      <c r="B40" s="19" t="s">
        <v>18</v>
      </c>
      <c r="C40" s="19" t="s">
        <v>19</v>
      </c>
      <c r="D40" s="17"/>
      <c r="E40" s="19" t="s">
        <v>70</v>
      </c>
      <c r="F40" s="19"/>
      <c r="G40" s="19"/>
      <c r="H40" s="19"/>
      <c r="I40" s="17"/>
      <c r="J40" s="104" t="s">
        <v>88</v>
      </c>
      <c r="K40" s="19"/>
      <c r="L40" s="19" t="s">
        <v>22</v>
      </c>
      <c r="M40" s="19"/>
      <c r="N40" s="19"/>
      <c r="O40" s="19" t="s">
        <v>60</v>
      </c>
    </row>
    <row r="41" spans="1:17" ht="13.8">
      <c r="A41" s="24" t="s">
        <v>78</v>
      </c>
      <c r="B41" s="25"/>
      <c r="C41" s="25"/>
      <c r="D41" s="25"/>
      <c r="E41" s="26" t="s">
        <v>62</v>
      </c>
      <c r="F41" s="26" t="s">
        <v>26</v>
      </c>
      <c r="G41" s="26" t="s">
        <v>71</v>
      </c>
      <c r="H41" s="26" t="s">
        <v>83</v>
      </c>
      <c r="I41" s="26"/>
      <c r="J41" s="26" t="s">
        <v>92</v>
      </c>
      <c r="K41" s="26" t="s">
        <v>81</v>
      </c>
      <c r="L41" s="26" t="s">
        <v>29</v>
      </c>
      <c r="M41" s="28" t="s">
        <v>30</v>
      </c>
      <c r="N41" s="26" t="s">
        <v>63</v>
      </c>
      <c r="O41" s="26" t="s">
        <v>66</v>
      </c>
    </row>
    <row r="42" spans="1:17" ht="14.4">
      <c r="A42" s="17"/>
      <c r="B42" s="173" t="s">
        <v>93</v>
      </c>
      <c r="C42" s="174"/>
      <c r="D42" s="105" t="s">
        <v>94</v>
      </c>
      <c r="E42" s="175" t="s">
        <v>95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4"/>
    </row>
    <row r="43" spans="1:17" ht="13.8">
      <c r="A43" s="17"/>
      <c r="B43" s="19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ht="13.8">
      <c r="A44" s="21" t="s">
        <v>34</v>
      </c>
      <c r="B44" s="93">
        <v>1662.5</v>
      </c>
      <c r="C44" s="93">
        <v>1615.2</v>
      </c>
      <c r="D44" s="93">
        <f>F44*1000/C44</f>
        <v>3812.7476473501733</v>
      </c>
      <c r="E44" s="93">
        <v>2118.1880000000001</v>
      </c>
      <c r="F44" s="93">
        <v>6158.35</v>
      </c>
      <c r="G44" s="96">
        <v>121.01600000000001</v>
      </c>
      <c r="H44" s="93">
        <f>SUM(E44:G44)</f>
        <v>8397.5540000000001</v>
      </c>
      <c r="I44" s="93"/>
      <c r="J44" s="93">
        <v>3356.6</v>
      </c>
      <c r="K44" s="93">
        <v>872.91017669999985</v>
      </c>
      <c r="L44" s="96">
        <f>N44-J44-K44-M44</f>
        <v>770.55533184840169</v>
      </c>
      <c r="M44" s="96">
        <v>1429.3264914515985</v>
      </c>
      <c r="N44" s="93">
        <f>H44-O44</f>
        <v>6429.3919999999998</v>
      </c>
      <c r="O44" s="93">
        <v>1968.162</v>
      </c>
    </row>
    <row r="45" spans="1:17" ht="16.2">
      <c r="A45" s="21" t="s">
        <v>35</v>
      </c>
      <c r="B45" s="93">
        <v>1580.2</v>
      </c>
      <c r="C45" s="93">
        <v>1540.1</v>
      </c>
      <c r="D45" s="93">
        <f>F45*1000/C45</f>
        <v>4130.4662034932799</v>
      </c>
      <c r="E45" s="93">
        <f>O44</f>
        <v>1968.162</v>
      </c>
      <c r="F45" s="93">
        <v>6361.3310000000001</v>
      </c>
      <c r="G45" s="96">
        <v>107.105</v>
      </c>
      <c r="H45" s="93">
        <f>SUM(E45:G45)</f>
        <v>8436.598</v>
      </c>
      <c r="I45" s="93"/>
      <c r="J45" s="93">
        <v>3313.1</v>
      </c>
      <c r="K45" s="93">
        <v>842.43200000000002</v>
      </c>
      <c r="L45" s="96">
        <f t="shared" ref="L45:L46" si="0">N45-J45-K45-M45</f>
        <v>738.31830540849705</v>
      </c>
      <c r="M45" s="96">
        <v>1182.4906945915034</v>
      </c>
      <c r="N45" s="93">
        <f>H45-O45</f>
        <v>6076.3410000000003</v>
      </c>
      <c r="O45" s="93">
        <v>2360.2570000000001</v>
      </c>
      <c r="P45" s="127"/>
    </row>
    <row r="46" spans="1:17" ht="16.2">
      <c r="A46" s="15" t="s">
        <v>36</v>
      </c>
      <c r="B46" s="97">
        <v>1450.3</v>
      </c>
      <c r="C46" s="97">
        <v>1385.4</v>
      </c>
      <c r="D46" s="97">
        <f>F46*1000/C46</f>
        <v>4019.1641403204849</v>
      </c>
      <c r="E46" s="97">
        <f>O45</f>
        <v>2360.2570000000001</v>
      </c>
      <c r="F46" s="97">
        <v>5568.15</v>
      </c>
      <c r="G46" s="100">
        <v>110</v>
      </c>
      <c r="H46" s="97">
        <f>SUM(E46:G46)</f>
        <v>8038.4069999999992</v>
      </c>
      <c r="I46" s="97"/>
      <c r="J46" s="97">
        <v>3287.7226918856595</v>
      </c>
      <c r="K46" s="97">
        <v>800</v>
      </c>
      <c r="L46" s="100">
        <f t="shared" si="0"/>
        <v>650.56500000000051</v>
      </c>
      <c r="M46" s="100">
        <v>1100</v>
      </c>
      <c r="N46" s="97">
        <f>H46-O46</f>
        <v>5838.28769188566</v>
      </c>
      <c r="O46" s="97">
        <v>2200.1193081143392</v>
      </c>
      <c r="P46" s="127"/>
      <c r="Q46" s="127"/>
    </row>
    <row r="47" spans="1:17" ht="16.2">
      <c r="A47" s="54" t="s">
        <v>85</v>
      </c>
      <c r="B47" s="17"/>
      <c r="C47" s="92"/>
      <c r="D47" s="92"/>
      <c r="E47" s="92"/>
      <c r="F47" s="92"/>
      <c r="G47" s="92"/>
      <c r="H47" s="92"/>
      <c r="I47" s="17"/>
      <c r="J47" s="17"/>
      <c r="K47" s="17"/>
      <c r="L47" s="17"/>
      <c r="M47" s="17"/>
      <c r="N47" s="17"/>
      <c r="O47" s="17"/>
    </row>
    <row r="48" spans="1:17" ht="14.4">
      <c r="A48" s="17" t="s">
        <v>96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4.4">
      <c r="A49" s="17" t="s">
        <v>87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3.8">
      <c r="A50" s="23" t="s">
        <v>57</v>
      </c>
      <c r="B50" s="106">
        <f>Contents!A16</f>
        <v>44995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44.4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ht="15.6">
      <c r="G52" s="79"/>
      <c r="H52" s="79"/>
    </row>
    <row r="53" spans="1:15" ht="15.6">
      <c r="G53" s="79"/>
      <c r="H53" s="79"/>
    </row>
    <row r="54" spans="1:15" ht="15.6">
      <c r="G54" s="79"/>
      <c r="H54" s="79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24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2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2" width="18.88671875" style="16" bestFit="1" customWidth="1"/>
    <col min="3" max="3" width="22.109375" style="16" bestFit="1" customWidth="1"/>
    <col min="4" max="5" width="25.6640625" style="16" bestFit="1" customWidth="1"/>
    <col min="6" max="6" width="16.6640625" style="16" bestFit="1" customWidth="1"/>
    <col min="7" max="7" width="18.88671875" style="16" bestFit="1" customWidth="1"/>
    <col min="8" max="16384" width="9.109375" style="16"/>
  </cols>
  <sheetData>
    <row r="1" spans="1:8" ht="15.6" customHeight="1">
      <c r="A1" s="15" t="s">
        <v>8</v>
      </c>
      <c r="B1" s="15"/>
      <c r="C1" s="15"/>
      <c r="D1" s="15"/>
      <c r="E1" s="15"/>
      <c r="F1" s="15"/>
      <c r="G1" s="15"/>
      <c r="H1" s="55"/>
    </row>
    <row r="2" spans="1:8" ht="15.6" customHeight="1">
      <c r="A2" s="21" t="s">
        <v>97</v>
      </c>
      <c r="B2" s="38" t="s">
        <v>98</v>
      </c>
      <c r="C2" s="38" t="s">
        <v>99</v>
      </c>
      <c r="D2" s="38" t="s">
        <v>100</v>
      </c>
      <c r="E2" s="38" t="s">
        <v>101</v>
      </c>
      <c r="F2" s="38" t="s">
        <v>102</v>
      </c>
      <c r="G2" s="38" t="s">
        <v>103</v>
      </c>
      <c r="H2" s="55"/>
    </row>
    <row r="3" spans="1:8" ht="15.6" customHeight="1">
      <c r="A3" s="15" t="s">
        <v>104</v>
      </c>
      <c r="B3" s="27"/>
      <c r="C3" s="60"/>
      <c r="D3" s="60"/>
      <c r="E3" s="60"/>
      <c r="F3" s="60"/>
      <c r="G3" s="60"/>
      <c r="H3" s="55"/>
    </row>
    <row r="4" spans="1:8" ht="14.4">
      <c r="A4" s="61"/>
      <c r="B4" s="62" t="s">
        <v>105</v>
      </c>
      <c r="C4" s="62" t="s">
        <v>106</v>
      </c>
      <c r="D4" s="62" t="s">
        <v>107</v>
      </c>
      <c r="E4" s="62" t="s">
        <v>107</v>
      </c>
      <c r="F4" s="62" t="s">
        <v>108</v>
      </c>
      <c r="G4" s="62" t="s">
        <v>105</v>
      </c>
      <c r="H4" s="55"/>
    </row>
    <row r="5" spans="1:8" ht="13.8">
      <c r="A5" s="17"/>
      <c r="B5" s="17"/>
      <c r="C5" s="17"/>
      <c r="D5" s="19"/>
      <c r="E5" s="17"/>
      <c r="F5" s="17"/>
      <c r="G5" s="17"/>
      <c r="H5" s="55"/>
    </row>
    <row r="6" spans="1:8" ht="13.8">
      <c r="A6" s="17" t="s">
        <v>109</v>
      </c>
      <c r="B6" s="63">
        <v>11.3</v>
      </c>
      <c r="C6" s="63">
        <v>161</v>
      </c>
      <c r="D6" s="63">
        <v>23.3</v>
      </c>
      <c r="E6" s="63">
        <v>19.3</v>
      </c>
      <c r="F6" s="63">
        <v>22.5</v>
      </c>
      <c r="G6" s="63">
        <v>12.2</v>
      </c>
      <c r="H6" s="55"/>
    </row>
    <row r="7" spans="1:8" ht="13.8">
      <c r="A7" s="17" t="s">
        <v>110</v>
      </c>
      <c r="B7" s="63">
        <v>12.5</v>
      </c>
      <c r="C7" s="63">
        <v>260</v>
      </c>
      <c r="D7" s="63">
        <v>29.1</v>
      </c>
      <c r="E7" s="63">
        <v>24</v>
      </c>
      <c r="F7" s="63">
        <v>31.8</v>
      </c>
      <c r="G7" s="63">
        <v>13.9</v>
      </c>
      <c r="H7" s="55"/>
    </row>
    <row r="8" spans="1:8" ht="13.8">
      <c r="A8" s="17" t="s">
        <v>111</v>
      </c>
      <c r="B8" s="63">
        <v>14.4</v>
      </c>
      <c r="C8" s="63">
        <v>252</v>
      </c>
      <c r="D8" s="63">
        <v>25.4</v>
      </c>
      <c r="E8" s="63">
        <v>26.5</v>
      </c>
      <c r="F8" s="63">
        <v>30.1</v>
      </c>
      <c r="G8" s="63">
        <v>13.8</v>
      </c>
      <c r="H8" s="55"/>
    </row>
    <row r="9" spans="1:8" ht="13.8">
      <c r="A9" s="17" t="s">
        <v>112</v>
      </c>
      <c r="B9" s="63">
        <v>13</v>
      </c>
      <c r="C9" s="63">
        <v>246</v>
      </c>
      <c r="D9" s="63">
        <v>21.4</v>
      </c>
      <c r="E9" s="63">
        <v>20.6</v>
      </c>
      <c r="F9" s="63">
        <v>24.9</v>
      </c>
      <c r="G9" s="63">
        <v>13.8</v>
      </c>
      <c r="H9" s="55"/>
    </row>
    <row r="10" spans="1:8" ht="13.8">
      <c r="A10" s="17" t="s">
        <v>113</v>
      </c>
      <c r="B10" s="63">
        <v>10.1</v>
      </c>
      <c r="C10" s="63">
        <v>194</v>
      </c>
      <c r="D10" s="63">
        <v>21.7</v>
      </c>
      <c r="E10" s="63">
        <v>16.899999999999999</v>
      </c>
      <c r="F10" s="63">
        <v>22</v>
      </c>
      <c r="G10" s="63">
        <v>11.8</v>
      </c>
      <c r="H10" s="55"/>
    </row>
    <row r="11" spans="1:8" ht="13.8">
      <c r="A11" s="17" t="s">
        <v>114</v>
      </c>
      <c r="B11" s="63">
        <v>8.9499999999999993</v>
      </c>
      <c r="C11" s="63">
        <v>227</v>
      </c>
      <c r="D11" s="63">
        <v>19.600000000000001</v>
      </c>
      <c r="E11" s="63">
        <v>15.6</v>
      </c>
      <c r="F11" s="63">
        <v>19.3</v>
      </c>
      <c r="G11" s="63">
        <v>8.9499999999999993</v>
      </c>
      <c r="H11" s="55"/>
    </row>
    <row r="12" spans="1:8" ht="13.8">
      <c r="A12" s="17" t="s">
        <v>115</v>
      </c>
      <c r="B12" s="63">
        <v>9.4700000000000006</v>
      </c>
      <c r="C12" s="63">
        <v>195</v>
      </c>
      <c r="D12" s="63">
        <v>17.399999999999999</v>
      </c>
      <c r="E12" s="63">
        <v>16.600000000000001</v>
      </c>
      <c r="F12" s="63">
        <v>19.7</v>
      </c>
      <c r="G12" s="63">
        <v>8</v>
      </c>
      <c r="H12" s="55"/>
    </row>
    <row r="13" spans="1:8" ht="13.8">
      <c r="A13" s="17" t="s">
        <v>116</v>
      </c>
      <c r="B13" s="63">
        <v>9.33</v>
      </c>
      <c r="C13" s="63">
        <v>142</v>
      </c>
      <c r="D13" s="63">
        <v>17.2</v>
      </c>
      <c r="E13" s="63">
        <v>17.5</v>
      </c>
      <c r="F13" s="63">
        <v>22.9</v>
      </c>
      <c r="G13" s="63">
        <v>9.5299999999999994</v>
      </c>
      <c r="H13" s="55"/>
    </row>
    <row r="14" spans="1:8" ht="13.8">
      <c r="A14" s="17" t="s">
        <v>117</v>
      </c>
      <c r="B14" s="63">
        <v>8.48</v>
      </c>
      <c r="C14" s="63">
        <v>155</v>
      </c>
      <c r="D14" s="63">
        <v>17.399999999999999</v>
      </c>
      <c r="E14" s="63">
        <v>15.8</v>
      </c>
      <c r="F14" s="63">
        <v>21.5</v>
      </c>
      <c r="G14" s="63">
        <v>9.89</v>
      </c>
      <c r="H14" s="55"/>
    </row>
    <row r="15" spans="1:8" ht="13.8">
      <c r="A15" s="17" t="s">
        <v>118</v>
      </c>
      <c r="B15" s="63">
        <v>8.57</v>
      </c>
      <c r="C15" s="63">
        <v>161</v>
      </c>
      <c r="D15" s="63">
        <v>19.5</v>
      </c>
      <c r="E15" s="63">
        <v>14.8</v>
      </c>
      <c r="F15" s="63">
        <v>20.5</v>
      </c>
      <c r="G15" s="63">
        <v>9.15</v>
      </c>
      <c r="H15" s="55"/>
    </row>
    <row r="16" spans="1:8" ht="13.8">
      <c r="A16" s="17" t="s">
        <v>34</v>
      </c>
      <c r="B16" s="63">
        <v>10.8</v>
      </c>
      <c r="C16" s="63">
        <v>194</v>
      </c>
      <c r="D16" s="63">
        <v>21.3</v>
      </c>
      <c r="E16" s="63">
        <v>18.400000000000002</v>
      </c>
      <c r="F16" s="63">
        <v>21</v>
      </c>
      <c r="G16" s="63">
        <v>11.1</v>
      </c>
      <c r="H16" s="55"/>
    </row>
    <row r="17" spans="1:8" ht="16.2">
      <c r="A17" s="17" t="s">
        <v>119</v>
      </c>
      <c r="B17" s="63">
        <v>13.3</v>
      </c>
      <c r="C17" s="63">
        <v>243</v>
      </c>
      <c r="D17" s="63">
        <v>32.9</v>
      </c>
      <c r="E17" s="63">
        <v>32.9</v>
      </c>
      <c r="F17" s="63">
        <v>24.3</v>
      </c>
      <c r="G17" s="63">
        <v>25.9</v>
      </c>
      <c r="H17" s="55"/>
    </row>
    <row r="18" spans="1:8" ht="16.2">
      <c r="A18" s="17" t="s">
        <v>120</v>
      </c>
      <c r="B18" s="63">
        <v>14.3</v>
      </c>
      <c r="C18" s="63">
        <v>335</v>
      </c>
      <c r="D18" s="63">
        <v>27.85</v>
      </c>
      <c r="E18" s="63">
        <v>30</v>
      </c>
      <c r="F18" s="63">
        <v>27</v>
      </c>
      <c r="G18" s="166">
        <v>17.899999999999999</v>
      </c>
      <c r="H18" s="158"/>
    </row>
    <row r="19" spans="1:8" ht="13.8">
      <c r="A19" s="21"/>
      <c r="B19" s="64"/>
      <c r="C19" s="65"/>
      <c r="D19" s="66"/>
      <c r="E19" s="66"/>
      <c r="F19" s="67"/>
      <c r="G19" s="68"/>
      <c r="H19" s="56"/>
    </row>
    <row r="20" spans="1:8" ht="13.8">
      <c r="A20" s="69" t="s">
        <v>37</v>
      </c>
      <c r="B20" s="63"/>
      <c r="C20" s="63"/>
      <c r="D20" s="63"/>
      <c r="E20" s="63"/>
      <c r="F20" s="63"/>
      <c r="G20" s="63"/>
    </row>
    <row r="21" spans="1:8" ht="13.8">
      <c r="A21" s="21" t="s">
        <v>38</v>
      </c>
      <c r="B21" s="63">
        <v>12.2</v>
      </c>
      <c r="C21" s="63">
        <v>235</v>
      </c>
      <c r="D21" s="63">
        <v>30.7</v>
      </c>
      <c r="E21" s="63">
        <v>28.7</v>
      </c>
      <c r="F21" s="63">
        <v>22.2</v>
      </c>
      <c r="G21" s="63">
        <v>19.8</v>
      </c>
    </row>
    <row r="22" spans="1:8" ht="13.8">
      <c r="A22" s="21" t="s">
        <v>39</v>
      </c>
      <c r="B22" s="63">
        <v>11.9</v>
      </c>
      <c r="C22" s="63">
        <v>244</v>
      </c>
      <c r="D22" s="63">
        <v>30.5</v>
      </c>
      <c r="E22" s="63">
        <v>29.6</v>
      </c>
      <c r="F22" s="63">
        <v>23.9</v>
      </c>
      <c r="G22" s="63">
        <v>26.2</v>
      </c>
    </row>
    <row r="23" spans="1:8" ht="13.8">
      <c r="A23" s="21" t="s">
        <v>40</v>
      </c>
      <c r="B23" s="63">
        <v>12.1</v>
      </c>
      <c r="C23" s="63">
        <v>244</v>
      </c>
      <c r="D23" s="63">
        <v>30.3</v>
      </c>
      <c r="E23" s="63">
        <v>31.7</v>
      </c>
      <c r="F23" s="63">
        <v>25.4</v>
      </c>
      <c r="G23" s="63">
        <v>26.1</v>
      </c>
    </row>
    <row r="24" spans="1:8" ht="13.8">
      <c r="A24" s="21" t="s">
        <v>42</v>
      </c>
      <c r="B24" s="63">
        <v>12.5</v>
      </c>
      <c r="C24" s="63">
        <v>239</v>
      </c>
      <c r="D24" s="63">
        <v>31.6</v>
      </c>
      <c r="E24" s="63">
        <v>32.5</v>
      </c>
      <c r="F24" s="63">
        <v>24.1</v>
      </c>
      <c r="G24" s="63">
        <v>31.3</v>
      </c>
    </row>
    <row r="25" spans="1:8" ht="13.8">
      <c r="A25" s="21" t="s">
        <v>43</v>
      </c>
      <c r="B25" s="63">
        <v>12.9</v>
      </c>
      <c r="C25" s="63">
        <v>241</v>
      </c>
      <c r="D25" s="63">
        <v>31</v>
      </c>
      <c r="E25" s="63">
        <v>33.700000000000003</v>
      </c>
      <c r="F25" s="63">
        <v>25.9</v>
      </c>
      <c r="G25" s="63">
        <v>31</v>
      </c>
    </row>
    <row r="26" spans="1:8" ht="13.8">
      <c r="A26" s="21" t="s">
        <v>44</v>
      </c>
      <c r="B26" s="63">
        <v>14.7</v>
      </c>
      <c r="C26" s="63">
        <v>255</v>
      </c>
      <c r="D26" s="63">
        <v>32.200000000000003</v>
      </c>
      <c r="E26" s="63">
        <v>37.5</v>
      </c>
      <c r="F26" s="63">
        <v>24.8</v>
      </c>
      <c r="G26" s="63">
        <v>27.5</v>
      </c>
    </row>
    <row r="27" spans="1:8" ht="13.8">
      <c r="A27" s="21" t="s">
        <v>46</v>
      </c>
      <c r="B27" s="63">
        <v>15.4</v>
      </c>
      <c r="C27" s="63" t="s">
        <v>76</v>
      </c>
      <c r="D27" s="63">
        <v>33.9</v>
      </c>
      <c r="E27" s="63">
        <v>39.200000000000003</v>
      </c>
      <c r="F27" s="63">
        <v>25</v>
      </c>
      <c r="G27" s="63">
        <v>28.9</v>
      </c>
    </row>
    <row r="28" spans="1:8" ht="13.8">
      <c r="A28" s="21" t="s">
        <v>47</v>
      </c>
      <c r="B28" s="63">
        <v>15.8</v>
      </c>
      <c r="C28" s="63" t="s">
        <v>76</v>
      </c>
      <c r="D28" s="63">
        <v>37.1</v>
      </c>
      <c r="E28" s="63">
        <v>41.3</v>
      </c>
      <c r="F28" s="63">
        <v>24.8</v>
      </c>
      <c r="G28" s="63">
        <v>30.2</v>
      </c>
    </row>
    <row r="29" spans="1:8" ht="13.8">
      <c r="A29" s="21" t="s">
        <v>48</v>
      </c>
      <c r="B29" s="63">
        <v>16.100000000000001</v>
      </c>
      <c r="C29" s="63" t="s">
        <v>76</v>
      </c>
      <c r="D29" s="63">
        <v>40.1</v>
      </c>
      <c r="E29" s="63">
        <v>42.9</v>
      </c>
      <c r="F29" s="63">
        <v>25.3</v>
      </c>
      <c r="G29" s="63">
        <v>29.7</v>
      </c>
    </row>
    <row r="30" spans="1:8" ht="13.8">
      <c r="A30" s="21" t="s">
        <v>50</v>
      </c>
      <c r="B30" s="63">
        <v>16.399999999999999</v>
      </c>
      <c r="C30" s="63" t="s">
        <v>76</v>
      </c>
      <c r="D30" s="63">
        <v>40.200000000000003</v>
      </c>
      <c r="E30" s="63">
        <v>45.6</v>
      </c>
      <c r="F30" s="63">
        <v>25.2</v>
      </c>
      <c r="G30" s="63">
        <v>23.9</v>
      </c>
    </row>
    <row r="31" spans="1:8" ht="13.8">
      <c r="A31" s="21" t="s">
        <v>51</v>
      </c>
      <c r="B31" s="63">
        <v>15.5</v>
      </c>
      <c r="C31" s="63">
        <v>360</v>
      </c>
      <c r="D31" s="63">
        <v>36.200000000000003</v>
      </c>
      <c r="E31" s="63">
        <v>42.7</v>
      </c>
      <c r="F31" s="63">
        <v>25.3</v>
      </c>
      <c r="G31" s="63">
        <v>24.2</v>
      </c>
    </row>
    <row r="32" spans="1:8" ht="13.8">
      <c r="A32" s="21" t="s">
        <v>52</v>
      </c>
      <c r="B32" s="63">
        <f>15.3</f>
        <v>15.3</v>
      </c>
      <c r="C32" s="63">
        <f>343</f>
        <v>343</v>
      </c>
      <c r="D32" s="63">
        <f>37.8</f>
        <v>37.799999999999997</v>
      </c>
      <c r="E32" s="63">
        <f>40</f>
        <v>40</v>
      </c>
      <c r="F32" s="63">
        <f>25</f>
        <v>25</v>
      </c>
      <c r="G32" s="63">
        <f>20.8</f>
        <v>20.8</v>
      </c>
    </row>
    <row r="33" spans="1:7" ht="13.8">
      <c r="A33" s="21"/>
      <c r="B33" s="63"/>
      <c r="C33" s="63"/>
      <c r="D33" s="63"/>
      <c r="E33" s="63"/>
      <c r="F33" s="63"/>
      <c r="G33" s="63"/>
    </row>
    <row r="34" spans="1:7" ht="13.8">
      <c r="A34" s="130" t="s">
        <v>54</v>
      </c>
      <c r="B34" s="63"/>
      <c r="C34" s="63"/>
      <c r="D34" s="63"/>
      <c r="E34" s="63"/>
      <c r="F34" s="63"/>
      <c r="G34" s="63"/>
    </row>
    <row r="35" spans="1:7" ht="13.8">
      <c r="A35" s="21" t="s">
        <v>38</v>
      </c>
      <c r="B35" s="63">
        <v>14.1</v>
      </c>
      <c r="C35" s="63">
        <v>361</v>
      </c>
      <c r="D35" s="63">
        <v>32.9</v>
      </c>
      <c r="E35" s="63">
        <v>28.1</v>
      </c>
      <c r="F35" s="63">
        <v>25.7</v>
      </c>
      <c r="G35" s="63">
        <v>18.899999999999999</v>
      </c>
    </row>
    <row r="36" spans="1:7" ht="13.8">
      <c r="A36" s="21" t="s">
        <v>39</v>
      </c>
      <c r="B36" s="63">
        <v>13.5</v>
      </c>
      <c r="C36" s="63">
        <v>338</v>
      </c>
      <c r="D36" s="63">
        <v>29.3</v>
      </c>
      <c r="E36" s="63">
        <v>28.1</v>
      </c>
      <c r="F36" s="63">
        <v>26.6</v>
      </c>
      <c r="G36" s="63">
        <v>18.600000000000001</v>
      </c>
    </row>
    <row r="37" spans="1:7" ht="13.8">
      <c r="A37" s="21" t="s">
        <v>40</v>
      </c>
      <c r="B37" s="63">
        <v>14</v>
      </c>
      <c r="C37" s="63">
        <v>323</v>
      </c>
      <c r="D37" s="63">
        <v>28.4</v>
      </c>
      <c r="E37" s="63">
        <v>29.2</v>
      </c>
      <c r="F37" s="63">
        <v>29.9</v>
      </c>
      <c r="G37" s="63">
        <v>19.5</v>
      </c>
    </row>
    <row r="38" spans="1:7" ht="13.8">
      <c r="A38" s="21" t="s">
        <v>42</v>
      </c>
      <c r="B38" s="63">
        <v>14.4</v>
      </c>
      <c r="C38" s="63">
        <v>329</v>
      </c>
      <c r="D38" s="63">
        <v>29.5</v>
      </c>
      <c r="E38" s="63">
        <v>29.2</v>
      </c>
      <c r="F38" s="63">
        <v>24.1</v>
      </c>
      <c r="G38" s="63">
        <v>18.399999999999999</v>
      </c>
    </row>
    <row r="39" spans="1:7" ht="13.8">
      <c r="A39" s="15" t="s">
        <v>43</v>
      </c>
      <c r="B39" s="14">
        <v>14.5</v>
      </c>
      <c r="C39" s="14">
        <v>316</v>
      </c>
      <c r="D39" s="14">
        <v>28.5</v>
      </c>
      <c r="E39" s="14">
        <v>30.1</v>
      </c>
      <c r="F39" s="14">
        <v>27.9</v>
      </c>
      <c r="G39" s="14">
        <v>17.7</v>
      </c>
    </row>
    <row r="40" spans="1:7" ht="16.2">
      <c r="A40" s="17" t="s">
        <v>121</v>
      </c>
      <c r="B40" s="17"/>
      <c r="C40" s="17"/>
      <c r="D40" s="17"/>
      <c r="E40" s="17"/>
      <c r="F40" s="17"/>
      <c r="G40" s="17"/>
    </row>
    <row r="41" spans="1:7" ht="14.4">
      <c r="A41" s="17" t="s">
        <v>122</v>
      </c>
      <c r="B41" s="17"/>
      <c r="C41" s="17"/>
      <c r="D41" s="17"/>
      <c r="E41" s="17"/>
      <c r="F41" s="17"/>
      <c r="G41" s="17"/>
    </row>
    <row r="42" spans="1:7" ht="13.8">
      <c r="A42" s="23" t="s">
        <v>57</v>
      </c>
      <c r="B42" s="46">
        <f>Contents!A16</f>
        <v>44995</v>
      </c>
      <c r="C42" s="17"/>
      <c r="D42" s="17"/>
      <c r="E42" s="17"/>
      <c r="F42" s="17"/>
      <c r="G42" s="17"/>
    </row>
  </sheetData>
  <phoneticPr fontId="24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3"/>
  <sheetViews>
    <sheetView showGridLines="0" zoomScale="70" zoomScaleNormal="70" workbookViewId="0"/>
  </sheetViews>
  <sheetFormatPr defaultColWidth="9.109375" defaultRowHeight="13.2"/>
  <cols>
    <col min="1" max="2" width="11.6640625" style="16" customWidth="1"/>
    <col min="3" max="3" width="11.5546875" style="16" customWidth="1"/>
    <col min="4" max="4" width="13.6640625" style="16" customWidth="1"/>
    <col min="5" max="5" width="11.6640625" style="16" customWidth="1"/>
    <col min="6" max="6" width="11.5546875" style="16" bestFit="1" customWidth="1"/>
    <col min="7" max="7" width="10.6640625" style="16" customWidth="1"/>
    <col min="8" max="8" width="12" style="16" customWidth="1"/>
    <col min="9" max="9" width="13.44140625" style="16" customWidth="1"/>
    <col min="10" max="16384" width="9.109375" style="16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7"/>
    </row>
    <row r="2" spans="1:12" ht="15.6" customHeight="1">
      <c r="A2" s="70" t="s">
        <v>97</v>
      </c>
      <c r="B2" s="38" t="s">
        <v>123</v>
      </c>
      <c r="C2" s="38" t="s">
        <v>124</v>
      </c>
      <c r="D2" s="38" t="s">
        <v>125</v>
      </c>
      <c r="E2" s="71" t="s">
        <v>126</v>
      </c>
      <c r="F2" s="71" t="s">
        <v>127</v>
      </c>
      <c r="G2" s="38" t="s">
        <v>128</v>
      </c>
      <c r="H2" s="38" t="s">
        <v>129</v>
      </c>
      <c r="I2" s="72" t="s">
        <v>130</v>
      </c>
    </row>
    <row r="3" spans="1:12" ht="15.6" customHeight="1">
      <c r="A3" s="73" t="s">
        <v>104</v>
      </c>
      <c r="B3" s="26" t="s">
        <v>131</v>
      </c>
      <c r="C3" s="26" t="s">
        <v>132</v>
      </c>
      <c r="D3" s="26" t="s">
        <v>133</v>
      </c>
      <c r="E3" s="26" t="s">
        <v>133</v>
      </c>
      <c r="F3" s="26" t="s">
        <v>134</v>
      </c>
      <c r="G3" s="26" t="s">
        <v>135</v>
      </c>
      <c r="H3" s="26"/>
      <c r="I3" s="26" t="s">
        <v>136</v>
      </c>
    </row>
    <row r="4" spans="1:12" ht="14.4">
      <c r="A4" s="74" t="s">
        <v>137</v>
      </c>
      <c r="C4" s="75"/>
      <c r="D4" s="75"/>
      <c r="E4" s="75"/>
      <c r="F4" s="75"/>
      <c r="G4" s="75"/>
      <c r="H4" s="75"/>
      <c r="I4" s="75"/>
    </row>
    <row r="5" spans="1:12" ht="13.8">
      <c r="A5" s="17"/>
      <c r="B5" s="17"/>
      <c r="C5" s="17"/>
      <c r="D5" s="17"/>
      <c r="E5" s="17"/>
      <c r="F5" s="17"/>
      <c r="G5" s="17"/>
      <c r="H5" s="17"/>
      <c r="I5" s="17"/>
    </row>
    <row r="6" spans="1:12" ht="13.8">
      <c r="A6" s="17" t="s">
        <v>109</v>
      </c>
      <c r="B6" s="63">
        <v>53.2</v>
      </c>
      <c r="C6" s="63">
        <v>54.5</v>
      </c>
      <c r="D6" s="63">
        <v>86.12</v>
      </c>
      <c r="E6" s="63">
        <v>58.68</v>
      </c>
      <c r="F6" s="63">
        <v>77.239999999999995</v>
      </c>
      <c r="G6" s="63">
        <v>60.76</v>
      </c>
      <c r="H6" s="63">
        <v>51.52</v>
      </c>
      <c r="I6" s="63">
        <v>51.34</v>
      </c>
      <c r="K6" s="80"/>
      <c r="L6" s="80"/>
    </row>
    <row r="7" spans="1:12" ht="13.8">
      <c r="A7" s="17" t="s">
        <v>110</v>
      </c>
      <c r="B7" s="63">
        <v>51.9</v>
      </c>
      <c r="C7" s="63">
        <v>53.22</v>
      </c>
      <c r="D7" s="63">
        <v>83.2</v>
      </c>
      <c r="E7" s="63">
        <v>57.19</v>
      </c>
      <c r="F7" s="63">
        <v>100.15</v>
      </c>
      <c r="G7" s="63">
        <v>56.09</v>
      </c>
      <c r="H7" s="63">
        <v>48.11</v>
      </c>
      <c r="I7" s="63">
        <v>50.33</v>
      </c>
      <c r="K7" s="80"/>
      <c r="L7" s="80"/>
    </row>
    <row r="8" spans="1:12" ht="13.8">
      <c r="A8" s="17" t="s">
        <v>111</v>
      </c>
      <c r="B8" s="63">
        <v>47.13</v>
      </c>
      <c r="C8" s="63">
        <v>48.6</v>
      </c>
      <c r="D8" s="63">
        <v>65.87</v>
      </c>
      <c r="E8" s="63">
        <v>56.17</v>
      </c>
      <c r="F8" s="63">
        <v>91.83</v>
      </c>
      <c r="G8" s="63">
        <v>46.66</v>
      </c>
      <c r="H8" s="63">
        <v>51.8</v>
      </c>
      <c r="I8" s="63">
        <v>43.24</v>
      </c>
      <c r="K8" s="80"/>
      <c r="L8" s="80"/>
    </row>
    <row r="9" spans="1:12" ht="13.8">
      <c r="A9" s="17" t="s">
        <v>112</v>
      </c>
      <c r="B9" s="63">
        <v>38.229999999999997</v>
      </c>
      <c r="C9" s="63">
        <v>60.66</v>
      </c>
      <c r="D9" s="63">
        <v>59.12</v>
      </c>
      <c r="E9" s="63">
        <v>43.7</v>
      </c>
      <c r="F9" s="63">
        <v>68.23</v>
      </c>
      <c r="G9" s="63">
        <v>39.43</v>
      </c>
      <c r="H9" s="63">
        <v>43.93</v>
      </c>
      <c r="I9" s="63">
        <v>39.76</v>
      </c>
      <c r="K9" s="80"/>
      <c r="L9" s="80"/>
    </row>
    <row r="10" spans="1:12" ht="13.8">
      <c r="A10" s="17" t="s">
        <v>113</v>
      </c>
      <c r="B10" s="63">
        <v>31.6</v>
      </c>
      <c r="C10" s="63">
        <v>45.74</v>
      </c>
      <c r="D10" s="63">
        <v>66.72</v>
      </c>
      <c r="E10" s="63">
        <v>37.81</v>
      </c>
      <c r="F10" s="63">
        <v>57.96</v>
      </c>
      <c r="G10" s="63">
        <v>37.479999999999997</v>
      </c>
      <c r="H10" s="63">
        <v>33.43</v>
      </c>
      <c r="I10" s="63">
        <v>31.36</v>
      </c>
      <c r="K10" s="80"/>
      <c r="L10" s="80"/>
    </row>
    <row r="11" spans="1:12" ht="13.8">
      <c r="A11" s="17" t="s">
        <v>114</v>
      </c>
      <c r="B11" s="63">
        <v>29.86</v>
      </c>
      <c r="C11" s="63">
        <v>45.87</v>
      </c>
      <c r="D11" s="63">
        <v>57.81</v>
      </c>
      <c r="E11" s="63">
        <v>35.270000000000003</v>
      </c>
      <c r="F11" s="63">
        <v>58.26</v>
      </c>
      <c r="G11" s="63">
        <v>39.25</v>
      </c>
      <c r="H11" s="63">
        <v>32.229999999999997</v>
      </c>
      <c r="I11" s="63">
        <v>30.07</v>
      </c>
      <c r="K11" s="80"/>
      <c r="L11" s="80"/>
    </row>
    <row r="12" spans="1:12" ht="13.8">
      <c r="A12" s="17" t="s">
        <v>115</v>
      </c>
      <c r="B12" s="63">
        <v>32.549999999999997</v>
      </c>
      <c r="C12" s="63">
        <v>40.92</v>
      </c>
      <c r="D12" s="63">
        <v>53.54</v>
      </c>
      <c r="E12" s="63">
        <v>38.729999999999997</v>
      </c>
      <c r="F12" s="63">
        <v>66.73</v>
      </c>
      <c r="G12" s="63">
        <v>37.43</v>
      </c>
      <c r="H12" s="63">
        <v>33.07</v>
      </c>
      <c r="I12" s="63">
        <v>34.75</v>
      </c>
      <c r="K12" s="80"/>
      <c r="L12" s="80"/>
    </row>
    <row r="13" spans="1:12" ht="13.8">
      <c r="A13" s="17" t="s">
        <v>116</v>
      </c>
      <c r="B13" s="63">
        <v>30.04</v>
      </c>
      <c r="C13" s="63">
        <v>31.87</v>
      </c>
      <c r="D13" s="63">
        <v>54.57</v>
      </c>
      <c r="E13" s="63">
        <v>38.270000000000003</v>
      </c>
      <c r="F13" s="63">
        <v>66.72</v>
      </c>
      <c r="G13" s="63">
        <v>30.35</v>
      </c>
      <c r="H13" s="63">
        <v>34.159999999999997</v>
      </c>
      <c r="I13" s="63">
        <v>31.21</v>
      </c>
      <c r="K13" s="80"/>
      <c r="L13" s="80"/>
    </row>
    <row r="14" spans="1:12" ht="13.8">
      <c r="A14" s="17" t="s">
        <v>117</v>
      </c>
      <c r="B14" s="63">
        <v>28.26</v>
      </c>
      <c r="C14" s="63">
        <v>35.14</v>
      </c>
      <c r="D14" s="63">
        <v>53.28</v>
      </c>
      <c r="E14" s="63">
        <v>36.090000000000003</v>
      </c>
      <c r="F14" s="63">
        <v>64.72</v>
      </c>
      <c r="G14" s="63">
        <v>26.93</v>
      </c>
      <c r="H14" s="63">
        <v>31.65</v>
      </c>
      <c r="I14" s="63">
        <v>33.11</v>
      </c>
      <c r="K14" s="80"/>
      <c r="L14" s="80"/>
    </row>
    <row r="15" spans="1:12" ht="13.8">
      <c r="A15" s="17" t="s">
        <v>118</v>
      </c>
      <c r="B15" s="63">
        <v>29.65</v>
      </c>
      <c r="C15" s="63">
        <v>40.18</v>
      </c>
      <c r="D15" s="63">
        <v>65.03</v>
      </c>
      <c r="E15" s="63">
        <v>37.869999999999997</v>
      </c>
      <c r="F15" s="63">
        <v>62</v>
      </c>
      <c r="G15" s="63">
        <v>39.47</v>
      </c>
      <c r="H15" s="63">
        <v>35.75</v>
      </c>
      <c r="I15" s="63">
        <v>38.369999999999997</v>
      </c>
      <c r="K15" s="80"/>
      <c r="L15" s="80"/>
    </row>
    <row r="16" spans="1:12" ht="13.8">
      <c r="A16" s="17" t="s">
        <v>34</v>
      </c>
      <c r="B16" s="63">
        <v>56.87</v>
      </c>
      <c r="C16" s="63">
        <v>80.94</v>
      </c>
      <c r="D16" s="63">
        <v>79</v>
      </c>
      <c r="E16" s="63">
        <v>70.459999999999994</v>
      </c>
      <c r="F16" s="63">
        <v>101.4</v>
      </c>
      <c r="G16" s="63">
        <v>53.88</v>
      </c>
      <c r="H16" s="63">
        <v>55.89</v>
      </c>
      <c r="I16" s="63">
        <v>54.98</v>
      </c>
      <c r="K16" s="80"/>
      <c r="L16" s="80"/>
    </row>
    <row r="17" spans="1:12" ht="16.2">
      <c r="A17" s="17" t="s">
        <v>138</v>
      </c>
      <c r="B17" s="63">
        <v>72.98</v>
      </c>
      <c r="C17" s="63">
        <v>107.15</v>
      </c>
      <c r="D17" s="63">
        <v>111.39</v>
      </c>
      <c r="E17" s="63">
        <v>90.52</v>
      </c>
      <c r="F17" s="63">
        <v>106.98</v>
      </c>
      <c r="G17" s="63">
        <v>64.28</v>
      </c>
      <c r="H17" s="63">
        <v>82</v>
      </c>
      <c r="I17" s="63">
        <v>81.84</v>
      </c>
      <c r="J17" s="118"/>
      <c r="K17" s="80"/>
      <c r="L17" s="80"/>
    </row>
    <row r="18" spans="1:12" ht="16.2">
      <c r="A18" s="17" t="s">
        <v>139</v>
      </c>
      <c r="B18" s="63">
        <v>66</v>
      </c>
      <c r="C18" s="63">
        <v>103</v>
      </c>
      <c r="D18" s="63">
        <v>88</v>
      </c>
      <c r="E18" s="63">
        <v>72</v>
      </c>
      <c r="F18" s="63">
        <v>101</v>
      </c>
      <c r="G18" s="63">
        <v>62</v>
      </c>
      <c r="H18" s="63">
        <v>84</v>
      </c>
      <c r="I18" s="63">
        <v>79</v>
      </c>
      <c r="J18" s="118"/>
      <c r="K18" s="80"/>
      <c r="L18" s="80"/>
    </row>
    <row r="19" spans="1:12" ht="13.8">
      <c r="A19" s="17"/>
      <c r="B19" s="76"/>
      <c r="C19" s="76"/>
      <c r="D19" s="76"/>
      <c r="E19" s="76"/>
      <c r="F19" s="76"/>
      <c r="G19" s="76"/>
      <c r="H19" s="76"/>
      <c r="I19" s="76"/>
    </row>
    <row r="20" spans="1:12" ht="13.8">
      <c r="A20" s="51" t="s">
        <v>37</v>
      </c>
      <c r="B20" s="63"/>
      <c r="C20" s="63"/>
      <c r="D20" s="63"/>
      <c r="E20" s="63"/>
      <c r="F20" s="63"/>
      <c r="G20" s="63"/>
      <c r="H20" s="63"/>
      <c r="I20" s="63"/>
      <c r="L20" s="118"/>
    </row>
    <row r="21" spans="1:12" ht="13.8">
      <c r="A21" s="21" t="s">
        <v>39</v>
      </c>
      <c r="B21" s="63">
        <v>70.42</v>
      </c>
      <c r="C21" s="63">
        <v>98.5</v>
      </c>
      <c r="D21" s="63">
        <v>129</v>
      </c>
      <c r="E21" s="63">
        <v>82.3</v>
      </c>
      <c r="F21" s="63">
        <v>101.5</v>
      </c>
      <c r="G21" s="63">
        <v>57.069999999999993</v>
      </c>
      <c r="H21" s="63" t="s">
        <v>76</v>
      </c>
      <c r="I21" s="63" t="s">
        <v>76</v>
      </c>
      <c r="K21" s="121"/>
      <c r="L21" s="120"/>
    </row>
    <row r="22" spans="1:12" ht="13.8">
      <c r="A22" s="21" t="s">
        <v>40</v>
      </c>
      <c r="B22" s="63">
        <v>66.459999999999994</v>
      </c>
      <c r="C22" s="63">
        <v>96.75</v>
      </c>
      <c r="D22" s="63">
        <v>125</v>
      </c>
      <c r="E22" s="63">
        <v>84.375</v>
      </c>
      <c r="F22" s="63">
        <v>100</v>
      </c>
      <c r="G22" s="63">
        <v>57.918000000000006</v>
      </c>
      <c r="H22" s="63" t="s">
        <v>76</v>
      </c>
      <c r="I22" s="63">
        <v>80.06</v>
      </c>
      <c r="K22" s="121"/>
      <c r="L22" s="121"/>
    </row>
    <row r="23" spans="1:12" ht="13.8">
      <c r="A23" s="21" t="s">
        <v>42</v>
      </c>
      <c r="B23" s="63">
        <v>63.69</v>
      </c>
      <c r="C23" s="63">
        <v>93.3</v>
      </c>
      <c r="D23" s="63">
        <v>125</v>
      </c>
      <c r="E23" s="63">
        <v>82.95</v>
      </c>
      <c r="F23" s="63">
        <v>100</v>
      </c>
      <c r="G23" s="63">
        <v>56.093333333333334</v>
      </c>
      <c r="H23" s="63" t="s">
        <v>76</v>
      </c>
      <c r="I23" s="63">
        <v>73</v>
      </c>
      <c r="K23" s="121"/>
      <c r="L23" s="121"/>
    </row>
    <row r="24" spans="1:12" ht="13.8">
      <c r="A24" s="21" t="s">
        <v>43</v>
      </c>
      <c r="B24" s="63">
        <v>65.7</v>
      </c>
      <c r="C24" s="63">
        <v>97.9375</v>
      </c>
      <c r="D24" s="63">
        <v>123.125</v>
      </c>
      <c r="E24" s="63">
        <v>88.5625</v>
      </c>
      <c r="F24" s="63">
        <v>103.125</v>
      </c>
      <c r="G24" s="63">
        <v>54.09</v>
      </c>
      <c r="H24" s="63" t="s">
        <v>76</v>
      </c>
      <c r="I24" s="63">
        <v>76.5</v>
      </c>
      <c r="K24" s="123"/>
    </row>
    <row r="25" spans="1:12" ht="13.8">
      <c r="A25" s="21" t="s">
        <v>44</v>
      </c>
      <c r="B25" s="63">
        <v>70.91</v>
      </c>
      <c r="C25" s="63">
        <v>101.375</v>
      </c>
      <c r="D25" s="63">
        <v>115.33333333333333</v>
      </c>
      <c r="E25" s="63">
        <v>85.875</v>
      </c>
      <c r="F25" s="63">
        <v>105</v>
      </c>
      <c r="G25" s="63">
        <v>59.29</v>
      </c>
      <c r="H25" s="63">
        <v>82</v>
      </c>
      <c r="I25" s="63">
        <v>80</v>
      </c>
    </row>
    <row r="26" spans="1:12" ht="13.8">
      <c r="A26" s="21" t="s">
        <v>46</v>
      </c>
      <c r="B26" s="63">
        <v>76.405000000000001</v>
      </c>
      <c r="C26" s="63">
        <v>114.875</v>
      </c>
      <c r="D26" s="63">
        <v>129</v>
      </c>
      <c r="E26" s="63">
        <v>92</v>
      </c>
      <c r="F26" s="63">
        <v>107.5</v>
      </c>
      <c r="G26" s="63">
        <v>67.1875</v>
      </c>
      <c r="H26" s="63" t="s">
        <v>76</v>
      </c>
      <c r="I26" s="63">
        <v>81.5</v>
      </c>
    </row>
    <row r="27" spans="1:12" ht="13.8">
      <c r="A27" s="21" t="s">
        <v>47</v>
      </c>
      <c r="B27" s="63">
        <v>83.846000000000004</v>
      </c>
      <c r="C27" s="63">
        <v>120.05</v>
      </c>
      <c r="D27" s="63">
        <v>120.4</v>
      </c>
      <c r="E27" s="63">
        <v>103.15</v>
      </c>
      <c r="F27" s="63">
        <v>115</v>
      </c>
      <c r="G27" s="63">
        <v>71.55</v>
      </c>
      <c r="H27" s="63" t="s">
        <v>76</v>
      </c>
      <c r="I27" s="63">
        <v>83.125</v>
      </c>
    </row>
    <row r="28" spans="1:12" ht="13.8">
      <c r="A28" s="21" t="s">
        <v>48</v>
      </c>
      <c r="B28" s="63">
        <v>87.385000000000005</v>
      </c>
      <c r="C28" s="63">
        <v>119.5625</v>
      </c>
      <c r="D28" s="63">
        <v>113.5</v>
      </c>
      <c r="E28" s="63">
        <v>108.6875</v>
      </c>
      <c r="F28" s="63">
        <v>116.25</v>
      </c>
      <c r="G28" s="63">
        <v>77.802499999999995</v>
      </c>
      <c r="H28" s="63" t="s">
        <v>76</v>
      </c>
      <c r="I28" s="63">
        <v>84.25</v>
      </c>
    </row>
    <row r="29" spans="1:12" ht="13.8">
      <c r="A29" s="21" t="s">
        <v>50</v>
      </c>
      <c r="B29" s="63">
        <v>80.297499999999999</v>
      </c>
      <c r="C29" s="63">
        <v>115.75</v>
      </c>
      <c r="D29" s="63">
        <v>97.75</v>
      </c>
      <c r="E29" s="63">
        <v>102.25</v>
      </c>
      <c r="F29" s="63">
        <v>116.25</v>
      </c>
      <c r="G29" s="63">
        <v>76.375</v>
      </c>
      <c r="H29" s="63" t="s">
        <v>76</v>
      </c>
      <c r="I29" s="63">
        <v>86.5</v>
      </c>
    </row>
    <row r="30" spans="1:12" ht="13.8">
      <c r="A30" s="21" t="s">
        <v>51</v>
      </c>
      <c r="B30" s="63">
        <v>67.74799999999999</v>
      </c>
      <c r="C30" s="63">
        <v>100.8</v>
      </c>
      <c r="D30" s="63">
        <v>78.2</v>
      </c>
      <c r="E30" s="63">
        <v>87.9</v>
      </c>
      <c r="F30" s="63">
        <v>103.2</v>
      </c>
      <c r="G30" s="63">
        <v>62.25</v>
      </c>
      <c r="H30" s="63" t="s">
        <v>76</v>
      </c>
      <c r="I30" s="63">
        <v>81.5</v>
      </c>
    </row>
    <row r="31" spans="1:12" ht="13.8">
      <c r="A31" s="21" t="s">
        <v>52</v>
      </c>
      <c r="B31" s="63">
        <v>72.334999999999994</v>
      </c>
      <c r="C31" s="63">
        <v>113.75</v>
      </c>
      <c r="D31" s="63">
        <v>92</v>
      </c>
      <c r="E31" s="63">
        <v>91.3125</v>
      </c>
      <c r="F31" s="63">
        <v>107.25</v>
      </c>
      <c r="G31" s="63">
        <v>65.4375</v>
      </c>
      <c r="H31" s="63" t="s">
        <v>76</v>
      </c>
      <c r="I31" s="63" t="s">
        <v>76</v>
      </c>
    </row>
    <row r="32" spans="1:12" ht="13.8">
      <c r="A32" s="21" t="s">
        <v>38</v>
      </c>
      <c r="B32" s="63">
        <v>70.626000000000005</v>
      </c>
      <c r="C32" s="63">
        <v>113.2</v>
      </c>
      <c r="D32" s="63">
        <v>88.4</v>
      </c>
      <c r="E32" s="63">
        <v>76.849999999999994</v>
      </c>
      <c r="F32" s="63">
        <v>111.6</v>
      </c>
      <c r="G32" s="63">
        <v>66.263999999999996</v>
      </c>
      <c r="H32" s="63" t="s">
        <v>76</v>
      </c>
      <c r="I32" s="63">
        <v>92</v>
      </c>
      <c r="K32" s="80"/>
      <c r="L32" s="80"/>
    </row>
    <row r="33" spans="1:12" ht="13.8">
      <c r="A33" s="21"/>
      <c r="B33" s="63"/>
      <c r="C33" s="63"/>
      <c r="D33" s="63"/>
      <c r="E33" s="63"/>
      <c r="F33" s="63"/>
      <c r="G33" s="63"/>
      <c r="H33" s="63"/>
      <c r="I33" s="63"/>
      <c r="K33" s="80"/>
      <c r="L33" s="80"/>
    </row>
    <row r="34" spans="1:12" ht="13.8">
      <c r="A34" s="51" t="s">
        <v>54</v>
      </c>
      <c r="B34" s="63"/>
      <c r="C34" s="63"/>
      <c r="D34" s="63"/>
      <c r="E34" s="63"/>
      <c r="F34" s="63"/>
      <c r="G34" s="63"/>
      <c r="H34" s="63"/>
      <c r="I34" s="63"/>
      <c r="K34" s="80"/>
      <c r="L34" s="80"/>
    </row>
    <row r="35" spans="1:12" ht="13.8">
      <c r="A35" s="21" t="s">
        <v>39</v>
      </c>
      <c r="B35" s="63">
        <v>72.67</v>
      </c>
      <c r="C35" s="63">
        <v>110.1875</v>
      </c>
      <c r="D35" s="63">
        <v>93.75</v>
      </c>
      <c r="E35" s="63">
        <v>80.125</v>
      </c>
      <c r="F35" s="63">
        <v>107.75</v>
      </c>
      <c r="G35" s="63">
        <v>65.412499999999994</v>
      </c>
      <c r="H35" s="63">
        <v>88</v>
      </c>
      <c r="I35" s="63">
        <v>88.5</v>
      </c>
      <c r="K35" s="80"/>
      <c r="L35" s="80"/>
    </row>
    <row r="36" spans="1:12" ht="13.8">
      <c r="A36" s="21" t="s">
        <v>40</v>
      </c>
      <c r="B36" s="63">
        <v>79.180000000000007</v>
      </c>
      <c r="C36" s="63">
        <v>116.6875</v>
      </c>
      <c r="D36" s="63">
        <v>106</v>
      </c>
      <c r="E36" s="63">
        <v>84.375</v>
      </c>
      <c r="F36" s="63">
        <v>111</v>
      </c>
      <c r="G36" s="63">
        <v>69.67</v>
      </c>
      <c r="H36" s="63" t="s">
        <v>76</v>
      </c>
      <c r="I36" s="63">
        <v>88.5</v>
      </c>
      <c r="K36" s="80"/>
      <c r="L36" s="80"/>
    </row>
    <row r="37" spans="1:12" ht="13.8">
      <c r="A37" s="21" t="s">
        <v>42</v>
      </c>
      <c r="B37" s="63">
        <v>68.14</v>
      </c>
      <c r="C37" s="63">
        <v>105.1</v>
      </c>
      <c r="D37" s="63">
        <v>92.3</v>
      </c>
      <c r="E37" s="63">
        <v>74.05</v>
      </c>
      <c r="F37" s="63">
        <v>101</v>
      </c>
      <c r="G37" s="63">
        <v>60</v>
      </c>
      <c r="H37" s="63" t="s">
        <v>76</v>
      </c>
      <c r="I37" s="63">
        <v>84</v>
      </c>
      <c r="K37" s="80"/>
      <c r="L37" s="80"/>
    </row>
    <row r="38" spans="1:12" ht="13.8">
      <c r="A38" s="21" t="s">
        <v>43</v>
      </c>
      <c r="B38" s="63">
        <v>66</v>
      </c>
      <c r="C38" s="63">
        <v>102.1875</v>
      </c>
      <c r="D38" s="63">
        <v>85.75</v>
      </c>
      <c r="E38" s="63">
        <v>71.1875</v>
      </c>
      <c r="F38" s="63">
        <v>95.375</v>
      </c>
      <c r="G38" s="63">
        <v>61</v>
      </c>
      <c r="H38" s="63">
        <v>87</v>
      </c>
      <c r="I38" s="63">
        <v>76.125</v>
      </c>
      <c r="K38" s="80"/>
      <c r="L38" s="80"/>
    </row>
    <row r="39" spans="1:12" ht="13.8">
      <c r="A39" s="15" t="s">
        <v>44</v>
      </c>
      <c r="B39" s="14">
        <v>63.242500000000007</v>
      </c>
      <c r="C39" s="14">
        <v>100</v>
      </c>
      <c r="D39" s="14">
        <v>81.25</v>
      </c>
      <c r="E39" s="14">
        <v>68.25</v>
      </c>
      <c r="F39" s="14">
        <v>88</v>
      </c>
      <c r="G39" s="14" t="s">
        <v>76</v>
      </c>
      <c r="H39" s="14" t="s">
        <v>76</v>
      </c>
      <c r="I39" s="14">
        <v>63.95</v>
      </c>
      <c r="K39" s="80"/>
      <c r="L39" s="80"/>
    </row>
    <row r="40" spans="1:12" ht="16.2">
      <c r="A40" s="54" t="s">
        <v>140</v>
      </c>
      <c r="B40" s="78"/>
      <c r="C40" s="78"/>
      <c r="D40" s="78"/>
      <c r="E40" s="78"/>
      <c r="F40" s="78"/>
      <c r="G40" s="78"/>
      <c r="H40" s="78"/>
      <c r="I40" s="78"/>
    </row>
    <row r="41" spans="1:12" ht="16.2">
      <c r="A41" s="17" t="s">
        <v>141</v>
      </c>
      <c r="B41" s="78"/>
      <c r="C41" s="78"/>
      <c r="D41" s="78"/>
      <c r="E41" s="78"/>
      <c r="F41" s="78"/>
      <c r="G41" s="78"/>
      <c r="H41" s="78"/>
      <c r="I41" s="78"/>
    </row>
    <row r="42" spans="1:12" ht="14.4">
      <c r="A42" s="17" t="s">
        <v>142</v>
      </c>
      <c r="B42" s="17"/>
      <c r="C42" s="17"/>
      <c r="D42" s="17"/>
      <c r="E42" s="17"/>
      <c r="F42" s="78"/>
      <c r="G42" s="17"/>
      <c r="H42" s="17"/>
      <c r="I42" s="17"/>
    </row>
    <row r="43" spans="1:12" ht="13.8">
      <c r="A43" s="23" t="s">
        <v>57</v>
      </c>
      <c r="B43" s="46">
        <f>Contents!A16</f>
        <v>44995</v>
      </c>
      <c r="C43" s="17"/>
      <c r="D43" s="17"/>
      <c r="E43" s="17"/>
      <c r="F43" s="17"/>
      <c r="G43" s="17"/>
      <c r="H43" s="17"/>
      <c r="I43" s="17"/>
    </row>
    <row r="44" spans="1:12" ht="15.6">
      <c r="C44" s="79"/>
      <c r="G44" s="79"/>
      <c r="H44" s="79"/>
      <c r="I44" s="79"/>
    </row>
    <row r="45" spans="1:12" ht="15.6">
      <c r="B45" s="80"/>
      <c r="C45" s="80"/>
      <c r="D45" s="80"/>
      <c r="E45" s="80"/>
      <c r="F45" s="80"/>
      <c r="G45" s="80"/>
      <c r="H45" s="79"/>
      <c r="I45" s="79"/>
    </row>
    <row r="46" spans="1:12" ht="15.6">
      <c r="B46" s="122"/>
      <c r="C46" s="122"/>
      <c r="D46" s="122"/>
      <c r="E46" s="122"/>
      <c r="F46" s="122"/>
      <c r="G46" s="122"/>
      <c r="H46" s="79"/>
      <c r="I46" s="79"/>
    </row>
    <row r="47" spans="1:12" ht="15.6">
      <c r="C47" s="79"/>
      <c r="G47" s="79"/>
      <c r="H47" s="79"/>
      <c r="I47" s="79"/>
    </row>
    <row r="48" spans="1:12" ht="15.6">
      <c r="C48" s="79"/>
      <c r="G48" s="79"/>
      <c r="H48" s="79"/>
      <c r="I48" s="79"/>
    </row>
    <row r="49" spans="3:9" ht="15.6">
      <c r="C49" s="79"/>
      <c r="G49" s="79"/>
      <c r="H49" s="79"/>
      <c r="I49" s="79"/>
    </row>
    <row r="50" spans="3:9" ht="15.6">
      <c r="C50" s="79"/>
      <c r="G50" s="79"/>
      <c r="H50" s="79"/>
      <c r="I50" s="79"/>
    </row>
    <row r="51" spans="3:9" ht="15.6">
      <c r="C51" s="79"/>
      <c r="G51" s="79"/>
      <c r="H51" s="79"/>
      <c r="I51" s="79"/>
    </row>
    <row r="52" spans="3:9" ht="15.6">
      <c r="C52" s="79"/>
      <c r="G52" s="79"/>
      <c r="H52" s="79"/>
      <c r="I52" s="79"/>
    </row>
    <row r="53" spans="3:9" ht="15.6">
      <c r="C53" s="79"/>
      <c r="G53" s="79"/>
      <c r="H53" s="79"/>
      <c r="I53" s="79"/>
    </row>
    <row r="54" spans="3:9" ht="15.6">
      <c r="C54" s="79"/>
      <c r="G54" s="79"/>
      <c r="H54" s="79"/>
      <c r="I54" s="79"/>
    </row>
    <row r="55" spans="3:9" ht="15.6">
      <c r="C55" s="79"/>
      <c r="G55" s="79"/>
      <c r="H55" s="79"/>
      <c r="I55" s="79"/>
    </row>
    <row r="56" spans="3:9" ht="15.6">
      <c r="C56" s="79"/>
      <c r="G56" s="79"/>
      <c r="H56" s="79"/>
      <c r="I56" s="79"/>
    </row>
    <row r="57" spans="3:9" ht="15.6">
      <c r="C57" s="79"/>
      <c r="G57" s="79"/>
      <c r="H57" s="79"/>
      <c r="I57" s="79"/>
    </row>
    <row r="58" spans="3:9" ht="15.6">
      <c r="C58" s="79"/>
      <c r="G58" s="79"/>
      <c r="H58" s="79"/>
      <c r="I58" s="79"/>
    </row>
    <row r="59" spans="3:9" ht="15.6">
      <c r="C59" s="79"/>
      <c r="G59" s="79"/>
      <c r="H59" s="79"/>
      <c r="I59" s="79"/>
    </row>
    <row r="60" spans="3:9" ht="15.6">
      <c r="C60" s="79"/>
      <c r="H60" s="79"/>
      <c r="I60" s="79"/>
    </row>
    <row r="61" spans="3:9" ht="15.6">
      <c r="C61" s="79"/>
      <c r="H61" s="79"/>
      <c r="I61" s="79"/>
    </row>
    <row r="62" spans="3:9" ht="15.6">
      <c r="C62" s="79"/>
      <c r="F62" s="80"/>
      <c r="H62" s="79"/>
      <c r="I62" s="79"/>
    </row>
    <row r="63" spans="3:9" ht="15.6">
      <c r="F63" s="80"/>
      <c r="H63" s="79"/>
      <c r="I63" s="79"/>
    </row>
  </sheetData>
  <phoneticPr fontId="24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3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7" width="13.6640625" style="16" customWidth="1"/>
    <col min="8" max="8" width="10.109375" style="16" bestFit="1" customWidth="1"/>
    <col min="9" max="9" width="11.44140625" style="16" customWidth="1"/>
    <col min="10" max="10" width="9.109375" style="16"/>
    <col min="11" max="11" width="8.88671875" style="16" customWidth="1"/>
    <col min="12" max="12" width="18" style="16" bestFit="1" customWidth="1"/>
    <col min="13" max="16384" width="9.109375" style="16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21" t="s">
        <v>97</v>
      </c>
      <c r="B2" s="38" t="s">
        <v>123</v>
      </c>
      <c r="C2" s="81" t="s">
        <v>124</v>
      </c>
      <c r="D2" s="81" t="s">
        <v>125</v>
      </c>
      <c r="E2" s="81" t="s">
        <v>127</v>
      </c>
      <c r="F2" s="38" t="s">
        <v>143</v>
      </c>
      <c r="G2" s="19" t="s">
        <v>144</v>
      </c>
      <c r="AB2" s="82"/>
    </row>
    <row r="3" spans="1:28" ht="15.6" customHeight="1">
      <c r="A3" s="15" t="s">
        <v>104</v>
      </c>
      <c r="B3" s="26" t="s">
        <v>145</v>
      </c>
      <c r="C3" s="26" t="s">
        <v>146</v>
      </c>
      <c r="D3" s="26" t="s">
        <v>147</v>
      </c>
      <c r="E3" s="26" t="s">
        <v>148</v>
      </c>
      <c r="F3" s="26" t="s">
        <v>149</v>
      </c>
      <c r="G3" s="26" t="s">
        <v>150</v>
      </c>
      <c r="AB3" s="82"/>
    </row>
    <row r="4" spans="1:28" ht="14.4">
      <c r="A4" s="74" t="s">
        <v>151</v>
      </c>
      <c r="C4" s="75"/>
      <c r="D4" s="75"/>
      <c r="E4" s="75"/>
      <c r="F4" s="75"/>
      <c r="G4" s="75"/>
      <c r="AB4" s="82"/>
    </row>
    <row r="5" spans="1:28" ht="13.8">
      <c r="A5" s="17"/>
      <c r="B5" s="17"/>
      <c r="C5" s="17"/>
      <c r="D5" s="17"/>
      <c r="E5" s="17"/>
      <c r="F5" s="17"/>
      <c r="G5" s="17"/>
      <c r="AB5" s="82"/>
    </row>
    <row r="6" spans="1:28" ht="13.8">
      <c r="A6" s="17" t="s">
        <v>109</v>
      </c>
      <c r="B6" s="77">
        <v>345.52</v>
      </c>
      <c r="C6" s="77">
        <v>273.83999999999997</v>
      </c>
      <c r="D6" s="77">
        <v>219.72</v>
      </c>
      <c r="E6" s="83" t="s">
        <v>76</v>
      </c>
      <c r="F6" s="77">
        <v>263.63</v>
      </c>
      <c r="G6" s="77">
        <v>240.65</v>
      </c>
      <c r="AB6" s="82"/>
    </row>
    <row r="7" spans="1:28" ht="13.8">
      <c r="A7" s="17" t="s">
        <v>110</v>
      </c>
      <c r="B7" s="77">
        <v>393.53</v>
      </c>
      <c r="C7" s="77">
        <v>275.13</v>
      </c>
      <c r="D7" s="77">
        <v>246.75</v>
      </c>
      <c r="E7" s="83" t="s">
        <v>76</v>
      </c>
      <c r="F7" s="77">
        <v>307.58999999999997</v>
      </c>
      <c r="G7" s="77">
        <v>265.68</v>
      </c>
      <c r="AB7" s="82"/>
    </row>
    <row r="8" spans="1:28" ht="13.8">
      <c r="A8" s="17" t="s">
        <v>111</v>
      </c>
      <c r="B8" s="77">
        <v>468.11</v>
      </c>
      <c r="C8" s="77">
        <v>331.52</v>
      </c>
      <c r="D8" s="77">
        <v>241.57</v>
      </c>
      <c r="E8" s="83" t="s">
        <v>76</v>
      </c>
      <c r="F8" s="77">
        <v>354.22</v>
      </c>
      <c r="G8" s="77">
        <v>329.31</v>
      </c>
      <c r="AB8" s="82"/>
    </row>
    <row r="9" spans="1:28" ht="13.8">
      <c r="A9" s="17" t="s">
        <v>112</v>
      </c>
      <c r="B9" s="77">
        <v>489.94</v>
      </c>
      <c r="C9" s="77">
        <v>377.71</v>
      </c>
      <c r="D9" s="77">
        <v>238.87</v>
      </c>
      <c r="E9" s="83" t="s">
        <v>76</v>
      </c>
      <c r="F9" s="77">
        <v>359.7</v>
      </c>
      <c r="G9" s="77">
        <v>337.23</v>
      </c>
      <c r="AB9" s="82"/>
    </row>
    <row r="10" spans="1:28" ht="13.8">
      <c r="A10" s="17" t="s">
        <v>113</v>
      </c>
      <c r="B10" s="77">
        <v>368.49</v>
      </c>
      <c r="C10" s="77">
        <v>304.27</v>
      </c>
      <c r="D10" s="77">
        <v>209.97</v>
      </c>
      <c r="E10" s="83" t="s">
        <v>76</v>
      </c>
      <c r="F10" s="77">
        <v>301.2</v>
      </c>
      <c r="G10" s="77">
        <v>256.58</v>
      </c>
      <c r="AB10" s="82"/>
    </row>
    <row r="11" spans="1:28" ht="13.8">
      <c r="A11" s="17" t="s">
        <v>114</v>
      </c>
      <c r="B11" s="77">
        <v>324.56</v>
      </c>
      <c r="C11" s="77">
        <v>261.19</v>
      </c>
      <c r="D11" s="77">
        <v>153.16999999999999</v>
      </c>
      <c r="E11" s="83" t="s">
        <v>76</v>
      </c>
      <c r="F11" s="77">
        <v>262.2</v>
      </c>
      <c r="G11" s="77">
        <v>260.23</v>
      </c>
      <c r="AB11" s="82"/>
    </row>
    <row r="12" spans="1:28" ht="13.8">
      <c r="A12" s="17" t="s">
        <v>115</v>
      </c>
      <c r="B12" s="77">
        <v>316.88</v>
      </c>
      <c r="C12" s="77">
        <v>208.61</v>
      </c>
      <c r="D12" s="77">
        <v>145.1</v>
      </c>
      <c r="E12" s="83" t="s">
        <v>76</v>
      </c>
      <c r="F12" s="77">
        <v>267.94</v>
      </c>
      <c r="G12" s="77">
        <v>282.49</v>
      </c>
      <c r="AB12" s="82"/>
    </row>
    <row r="13" spans="1:28" ht="13.8">
      <c r="A13" s="17" t="s">
        <v>116</v>
      </c>
      <c r="B13" s="77">
        <v>345.02</v>
      </c>
      <c r="C13" s="77">
        <v>260.88</v>
      </c>
      <c r="D13" s="77">
        <v>173.53</v>
      </c>
      <c r="E13" s="83" t="s">
        <v>76</v>
      </c>
      <c r="F13" s="77">
        <v>291.14999999999998</v>
      </c>
      <c r="G13" s="77">
        <v>239.15</v>
      </c>
    </row>
    <row r="14" spans="1:28" ht="13.8">
      <c r="A14" s="17" t="s">
        <v>117</v>
      </c>
      <c r="B14" s="77">
        <v>308.27999999999997</v>
      </c>
      <c r="C14" s="77">
        <v>228.64</v>
      </c>
      <c r="D14" s="77">
        <v>164.16</v>
      </c>
      <c r="E14" s="83" t="s">
        <v>76</v>
      </c>
      <c r="F14" s="77">
        <v>272.38</v>
      </c>
      <c r="G14" s="77">
        <v>225.77</v>
      </c>
    </row>
    <row r="15" spans="1:28" ht="13.8">
      <c r="A15" s="17" t="s">
        <v>118</v>
      </c>
      <c r="B15" s="77">
        <v>299.5</v>
      </c>
      <c r="C15" s="77">
        <v>247.04</v>
      </c>
      <c r="D15" s="77">
        <v>187.7</v>
      </c>
      <c r="E15" s="83" t="s">
        <v>76</v>
      </c>
      <c r="F15" s="77">
        <v>273.99</v>
      </c>
      <c r="G15" s="77">
        <v>245.88</v>
      </c>
    </row>
    <row r="16" spans="1:28" ht="13.8">
      <c r="A16" s="17" t="s">
        <v>34</v>
      </c>
      <c r="B16" s="77">
        <v>392.31</v>
      </c>
      <c r="C16" s="77">
        <v>375.51</v>
      </c>
      <c r="D16" s="77">
        <v>246.22</v>
      </c>
      <c r="E16" s="83" t="s">
        <v>76</v>
      </c>
      <c r="F16" s="77">
        <v>351.87</v>
      </c>
      <c r="G16" s="77">
        <v>288.12</v>
      </c>
    </row>
    <row r="17" spans="1:13" ht="16.2">
      <c r="A17" s="17" t="s">
        <v>138</v>
      </c>
      <c r="B17" s="77">
        <v>439.81</v>
      </c>
      <c r="C17" s="77">
        <v>355.33</v>
      </c>
      <c r="D17" s="77">
        <v>279.98</v>
      </c>
      <c r="E17" s="83" t="s">
        <v>76</v>
      </c>
      <c r="F17" s="77">
        <v>439.1</v>
      </c>
      <c r="G17" s="77">
        <v>332.21</v>
      </c>
    </row>
    <row r="18" spans="1:13" ht="16.2">
      <c r="A18" s="17" t="s">
        <v>139</v>
      </c>
      <c r="B18" s="77">
        <v>465</v>
      </c>
      <c r="C18" s="77">
        <v>400</v>
      </c>
      <c r="D18" s="77">
        <v>295</v>
      </c>
      <c r="E18" s="83" t="s">
        <v>76</v>
      </c>
      <c r="F18" s="77">
        <v>445</v>
      </c>
      <c r="G18" s="139">
        <v>380</v>
      </c>
      <c r="I18" s="80"/>
    </row>
    <row r="19" spans="1:13" ht="13.8">
      <c r="A19" s="21"/>
      <c r="B19" s="77"/>
      <c r="C19" s="77"/>
      <c r="D19" s="77"/>
      <c r="E19" s="83"/>
      <c r="F19" s="77"/>
      <c r="G19" s="77"/>
      <c r="I19" s="84"/>
      <c r="J19" s="85"/>
      <c r="K19" s="85"/>
      <c r="L19" s="85"/>
      <c r="M19" s="85"/>
    </row>
    <row r="20" spans="1:13" ht="13.8">
      <c r="A20" s="51" t="s">
        <v>37</v>
      </c>
      <c r="B20" s="77"/>
      <c r="C20" s="77"/>
      <c r="D20" s="77"/>
      <c r="E20" s="63"/>
      <c r="F20" s="77"/>
      <c r="G20" s="77"/>
      <c r="H20" s="63"/>
    </row>
    <row r="21" spans="1:13" ht="13.8">
      <c r="A21" s="21" t="s">
        <v>39</v>
      </c>
      <c r="B21" s="77">
        <v>325.43</v>
      </c>
      <c r="C21" s="77">
        <v>298.75</v>
      </c>
      <c r="D21" s="77">
        <v>222.5</v>
      </c>
      <c r="E21" s="83" t="s">
        <v>76</v>
      </c>
      <c r="F21" s="77">
        <v>322.82499999999999</v>
      </c>
      <c r="G21" s="77">
        <v>265.625</v>
      </c>
      <c r="H21" s="63"/>
      <c r="I21" s="80"/>
    </row>
    <row r="22" spans="1:13" ht="13.8">
      <c r="A22" s="21" t="s">
        <v>40</v>
      </c>
      <c r="B22" s="77">
        <v>358.73</v>
      </c>
      <c r="C22" s="77">
        <v>304.5</v>
      </c>
      <c r="D22" s="77">
        <v>256.5</v>
      </c>
      <c r="E22" s="83" t="s">
        <v>76</v>
      </c>
      <c r="F22" s="77">
        <v>350.21999999999997</v>
      </c>
      <c r="G22" s="77">
        <v>252</v>
      </c>
      <c r="H22" s="63"/>
      <c r="I22" s="80"/>
    </row>
    <row r="23" spans="1:13" ht="13.8">
      <c r="A23" s="21" t="s">
        <v>42</v>
      </c>
      <c r="B23" s="77">
        <v>399.53</v>
      </c>
      <c r="C23" s="77">
        <v>311.25</v>
      </c>
      <c r="D23" s="77">
        <v>289.16666666666669</v>
      </c>
      <c r="E23" s="83" t="s">
        <v>76</v>
      </c>
      <c r="F23" s="77">
        <v>382.9666666666667</v>
      </c>
      <c r="G23" s="77">
        <v>309.16666666666669</v>
      </c>
      <c r="H23" s="63"/>
      <c r="I23" s="80"/>
    </row>
    <row r="24" spans="1:13" ht="13.8">
      <c r="A24" s="21" t="s">
        <v>152</v>
      </c>
      <c r="B24" s="77">
        <v>421.21</v>
      </c>
      <c r="C24" s="77">
        <v>318.125</v>
      </c>
      <c r="D24" s="77">
        <v>301.25</v>
      </c>
      <c r="E24" s="83" t="s">
        <v>76</v>
      </c>
      <c r="F24" s="77">
        <v>410.875</v>
      </c>
      <c r="G24" s="77">
        <v>326.25</v>
      </c>
      <c r="H24" s="63"/>
      <c r="I24" s="80"/>
    </row>
    <row r="25" spans="1:13" ht="13.8">
      <c r="A25" s="21" t="s">
        <v>44</v>
      </c>
      <c r="B25" s="139">
        <v>460.45</v>
      </c>
      <c r="C25" s="77">
        <v>333.75</v>
      </c>
      <c r="D25" s="77">
        <v>320</v>
      </c>
      <c r="E25" s="83" t="s">
        <v>76</v>
      </c>
      <c r="F25" s="77">
        <v>454.625</v>
      </c>
      <c r="G25" s="77">
        <v>350</v>
      </c>
      <c r="H25" s="63"/>
      <c r="I25" s="80"/>
    </row>
    <row r="26" spans="1:13" ht="13.8">
      <c r="A26" s="21" t="s">
        <v>46</v>
      </c>
      <c r="B26" s="139">
        <v>493.97500000000002</v>
      </c>
      <c r="C26" s="77">
        <v>345.625</v>
      </c>
      <c r="D26" s="77">
        <v>333.33300000000003</v>
      </c>
      <c r="E26" s="83" t="s">
        <v>76</v>
      </c>
      <c r="F26" s="77">
        <v>487.03750000000002</v>
      </c>
      <c r="G26" s="77">
        <v>392.5</v>
      </c>
      <c r="H26" s="63"/>
      <c r="I26" s="80"/>
    </row>
    <row r="27" spans="1:13" ht="13.8">
      <c r="A27" s="21" t="s">
        <v>47</v>
      </c>
      <c r="B27" s="139">
        <v>475.35999999999996</v>
      </c>
      <c r="C27" s="77">
        <v>355</v>
      </c>
      <c r="D27" s="77">
        <v>321</v>
      </c>
      <c r="E27" s="83" t="s">
        <v>76</v>
      </c>
      <c r="F27" s="77">
        <v>470.77999999999992</v>
      </c>
      <c r="G27" s="77">
        <v>386</v>
      </c>
      <c r="H27" s="63"/>
      <c r="I27" s="80"/>
    </row>
    <row r="28" spans="1:13" ht="13.8">
      <c r="A28" s="21" t="s">
        <v>48</v>
      </c>
      <c r="B28" s="139">
        <v>441.27499999999998</v>
      </c>
      <c r="C28" s="77">
        <v>388.75</v>
      </c>
      <c r="D28" s="77">
        <v>285.625</v>
      </c>
      <c r="E28" s="83" t="s">
        <v>76</v>
      </c>
      <c r="F28" s="77">
        <v>454.5</v>
      </c>
      <c r="G28" s="77">
        <v>351.25</v>
      </c>
      <c r="H28" s="63"/>
      <c r="I28" s="80"/>
    </row>
    <row r="29" spans="1:13" ht="13.8">
      <c r="A29" s="21" t="s">
        <v>50</v>
      </c>
      <c r="B29" s="139">
        <v>445.92499999999995</v>
      </c>
      <c r="C29" s="77">
        <v>383.75</v>
      </c>
      <c r="D29" s="77">
        <v>281.875</v>
      </c>
      <c r="E29" s="83" t="s">
        <v>76</v>
      </c>
      <c r="F29" s="77">
        <v>478.17499999999995</v>
      </c>
      <c r="G29" s="77">
        <v>322.5</v>
      </c>
      <c r="H29" s="63"/>
      <c r="I29" s="80"/>
    </row>
    <row r="30" spans="1:13" ht="13.8">
      <c r="A30" s="21" t="s">
        <v>51</v>
      </c>
      <c r="B30" s="139">
        <v>467.87</v>
      </c>
      <c r="C30" s="77">
        <v>369.5</v>
      </c>
      <c r="D30" s="77">
        <v>268.5</v>
      </c>
      <c r="E30" s="83" t="s">
        <v>76</v>
      </c>
      <c r="F30" s="77">
        <v>501.17999999999995</v>
      </c>
      <c r="G30" s="77">
        <v>351.5</v>
      </c>
      <c r="H30" s="63"/>
      <c r="I30" s="80"/>
    </row>
    <row r="31" spans="1:13" ht="13.8">
      <c r="A31" s="21" t="s">
        <v>52</v>
      </c>
      <c r="B31" s="139">
        <v>510.90000000000009</v>
      </c>
      <c r="C31" s="77">
        <v>405</v>
      </c>
      <c r="D31" s="77">
        <v>255</v>
      </c>
      <c r="E31" s="83" t="s">
        <v>76</v>
      </c>
      <c r="F31" s="77">
        <v>521.52500000000009</v>
      </c>
      <c r="G31" s="77">
        <v>347.5</v>
      </c>
      <c r="H31" s="63"/>
      <c r="I31" s="80"/>
    </row>
    <row r="32" spans="1:13" ht="13.8">
      <c r="A32" s="21" t="s">
        <v>38</v>
      </c>
      <c r="B32" s="140">
        <v>473.93999999999994</v>
      </c>
      <c r="C32" s="77">
        <v>450</v>
      </c>
      <c r="D32" s="77">
        <v>225</v>
      </c>
      <c r="E32" s="83" t="s">
        <v>76</v>
      </c>
      <c r="F32" s="77">
        <v>434.53999999999996</v>
      </c>
      <c r="G32" s="77" t="s">
        <v>76</v>
      </c>
      <c r="H32" s="63"/>
    </row>
    <row r="33" spans="1:10" ht="13.8">
      <c r="A33" s="21"/>
      <c r="B33" s="140"/>
      <c r="C33" s="77"/>
      <c r="D33" s="77"/>
      <c r="E33" s="83"/>
      <c r="F33" s="77"/>
      <c r="G33" s="77"/>
      <c r="H33" s="63"/>
    </row>
    <row r="34" spans="1:10" ht="13.8">
      <c r="A34" s="51" t="s">
        <v>54</v>
      </c>
      <c r="B34" s="140"/>
      <c r="C34" s="77"/>
      <c r="D34" s="77"/>
      <c r="E34" s="83"/>
      <c r="F34" s="77"/>
      <c r="G34" s="77"/>
      <c r="H34" s="63"/>
    </row>
    <row r="35" spans="1:10" ht="13.8">
      <c r="A35" s="21" t="s">
        <v>39</v>
      </c>
      <c r="B35" s="140">
        <v>468.67499999999995</v>
      </c>
      <c r="C35" s="77">
        <v>451.875</v>
      </c>
      <c r="D35" s="77" t="s">
        <v>76</v>
      </c>
      <c r="E35" s="83" t="s">
        <v>76</v>
      </c>
      <c r="F35" s="77">
        <v>409.17499999999995</v>
      </c>
      <c r="G35" s="77" t="s">
        <v>76</v>
      </c>
      <c r="H35" s="63"/>
    </row>
    <row r="36" spans="1:10" ht="13.8">
      <c r="A36" s="21" t="s">
        <v>40</v>
      </c>
      <c r="B36" s="140">
        <v>436.74999999999994</v>
      </c>
      <c r="C36" s="77">
        <v>405</v>
      </c>
      <c r="D36" s="77" t="s">
        <v>76</v>
      </c>
      <c r="E36" s="83" t="s">
        <v>76</v>
      </c>
      <c r="F36" s="77">
        <v>402.99999999999994</v>
      </c>
      <c r="G36" s="77">
        <v>357.5</v>
      </c>
      <c r="H36" s="63"/>
      <c r="I36" s="80"/>
    </row>
    <row r="37" spans="1:10" ht="13.8">
      <c r="A37" s="21" t="s">
        <v>42</v>
      </c>
      <c r="B37" s="140">
        <v>462.85</v>
      </c>
      <c r="C37" s="77">
        <v>390.625</v>
      </c>
      <c r="D37" s="77">
        <v>200</v>
      </c>
      <c r="E37" s="83" t="s">
        <v>76</v>
      </c>
      <c r="F37" s="77">
        <v>437.09999999999997</v>
      </c>
      <c r="G37" s="77">
        <v>368.5</v>
      </c>
      <c r="H37" s="63"/>
      <c r="I37" s="80"/>
    </row>
    <row r="38" spans="1:10" ht="13.8">
      <c r="A38" s="21" t="s">
        <v>43</v>
      </c>
      <c r="B38" s="140">
        <v>482.40000000000003</v>
      </c>
      <c r="C38" s="77">
        <v>386.25</v>
      </c>
      <c r="D38" s="77">
        <v>355</v>
      </c>
      <c r="E38" s="83" t="s">
        <v>76</v>
      </c>
      <c r="F38" s="77">
        <v>474.02500000000003</v>
      </c>
      <c r="G38" s="77">
        <v>397.5</v>
      </c>
      <c r="I38" s="80"/>
    </row>
    <row r="39" spans="1:10" ht="13.8">
      <c r="A39" s="15" t="s">
        <v>44</v>
      </c>
      <c r="B39" s="141">
        <v>500.52499999999998</v>
      </c>
      <c r="C39" s="138">
        <v>392.5</v>
      </c>
      <c r="D39" s="138">
        <v>336.25</v>
      </c>
      <c r="E39" s="113" t="s">
        <v>76</v>
      </c>
      <c r="F39" s="138">
        <v>501.02499999999998</v>
      </c>
      <c r="G39" s="138">
        <v>412.5</v>
      </c>
      <c r="I39" s="80"/>
    </row>
    <row r="40" spans="1:10" ht="16.2">
      <c r="A40" s="54" t="s">
        <v>153</v>
      </c>
      <c r="B40" s="86"/>
      <c r="C40" s="86"/>
      <c r="D40" s="86"/>
      <c r="E40" s="86"/>
      <c r="F40" s="86"/>
      <c r="G40" s="86"/>
      <c r="I40" s="84"/>
    </row>
    <row r="41" spans="1:10" ht="16.2">
      <c r="A41" s="54" t="s">
        <v>154</v>
      </c>
      <c r="B41" s="87"/>
      <c r="C41" s="87"/>
      <c r="D41" s="87"/>
      <c r="E41" s="87"/>
      <c r="F41" s="87"/>
      <c r="G41" s="87"/>
      <c r="I41" s="84"/>
      <c r="J41" s="84"/>
    </row>
    <row r="42" spans="1:10" ht="14.4">
      <c r="A42" s="17" t="s">
        <v>155</v>
      </c>
      <c r="B42" s="17"/>
      <c r="C42" s="17"/>
      <c r="D42" s="17"/>
      <c r="E42" s="17"/>
      <c r="F42" s="87"/>
      <c r="G42" s="87"/>
      <c r="I42" s="84"/>
      <c r="J42" s="84"/>
    </row>
    <row r="43" spans="1:10" ht="13.8">
      <c r="A43" s="23" t="s">
        <v>57</v>
      </c>
      <c r="B43" s="46">
        <f>Contents!A16</f>
        <v>44995</v>
      </c>
      <c r="C43" s="17"/>
      <c r="D43" s="17"/>
      <c r="E43" s="17"/>
      <c r="F43" s="87"/>
      <c r="G43" s="87"/>
      <c r="I43" s="88"/>
      <c r="J43" s="88"/>
    </row>
    <row r="44" spans="1:10" ht="13.8">
      <c r="F44" s="87"/>
      <c r="G44" s="87"/>
      <c r="I44" s="88"/>
      <c r="J44" s="88"/>
    </row>
    <row r="45" spans="1:10" ht="13.8">
      <c r="F45" s="87"/>
      <c r="G45" s="87"/>
      <c r="I45" s="84"/>
      <c r="J45" s="84"/>
    </row>
    <row r="46" spans="1:10">
      <c r="B46" s="80"/>
      <c r="I46" s="84"/>
      <c r="J46" s="84"/>
    </row>
    <row r="47" spans="1:10">
      <c r="I47" s="84"/>
      <c r="J47" s="84"/>
    </row>
    <row r="48" spans="1:10">
      <c r="I48" s="84"/>
      <c r="J48" s="84"/>
    </row>
    <row r="49" spans="9:10">
      <c r="I49" s="84"/>
      <c r="J49" s="84"/>
    </row>
    <row r="50" spans="9:10">
      <c r="I50" s="84"/>
      <c r="J50" s="84"/>
    </row>
    <row r="52" spans="9:10">
      <c r="I52" s="89"/>
      <c r="J52" s="89"/>
    </row>
    <row r="53" spans="9:10">
      <c r="I53" s="89"/>
      <c r="J53" s="89"/>
    </row>
  </sheetData>
  <phoneticPr fontId="24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1EFE-58CB-4843-90D6-2A927CED4B5A}">
  <dimension ref="A1:F39"/>
  <sheetViews>
    <sheetView zoomScaleNormal="100" workbookViewId="0">
      <selection activeCell="L24" sqref="L24"/>
    </sheetView>
  </sheetViews>
  <sheetFormatPr defaultColWidth="9.109375" defaultRowHeight="13.2"/>
  <cols>
    <col min="1" max="1" width="12.6640625" style="126" bestFit="1" customWidth="1"/>
    <col min="2" max="2" width="12.33203125" style="126" customWidth="1"/>
    <col min="3" max="3" width="8.109375" style="126" customWidth="1"/>
    <col min="4" max="4" width="10.6640625" style="126" customWidth="1"/>
    <col min="5" max="16384" width="9.109375" style="126"/>
  </cols>
  <sheetData>
    <row r="1" spans="1:6" ht="26.4">
      <c r="A1" s="135" t="s">
        <v>156</v>
      </c>
      <c r="B1" s="137" t="s">
        <v>157</v>
      </c>
      <c r="C1" s="137" t="s">
        <v>14</v>
      </c>
      <c r="D1" s="137" t="s">
        <v>26</v>
      </c>
    </row>
    <row r="2" spans="1:6">
      <c r="A2" s="142" t="s">
        <v>158</v>
      </c>
      <c r="B2" s="144">
        <v>16.370999999999999</v>
      </c>
      <c r="C2" s="143">
        <v>2.822063404801173</v>
      </c>
      <c r="D2" s="160">
        <v>46.2</v>
      </c>
    </row>
    <row r="3" spans="1:6">
      <c r="A3" s="142" t="s">
        <v>159</v>
      </c>
      <c r="B3" s="144">
        <v>16</v>
      </c>
      <c r="C3" s="143">
        <v>2</v>
      </c>
      <c r="D3" s="160">
        <v>32</v>
      </c>
    </row>
    <row r="4" spans="1:6">
      <c r="A4" s="142" t="s">
        <v>160</v>
      </c>
      <c r="B4" s="144">
        <v>18.600000000000001</v>
      </c>
      <c r="C4" s="143">
        <v>2.9301075268817205</v>
      </c>
      <c r="D4" s="160">
        <v>54.5</v>
      </c>
    </row>
    <row r="5" spans="1:6">
      <c r="A5" s="142" t="s">
        <v>109</v>
      </c>
      <c r="B5" s="144">
        <v>18.3</v>
      </c>
      <c r="C5" s="143">
        <v>2.6775956284153004</v>
      </c>
      <c r="D5" s="160">
        <v>49</v>
      </c>
    </row>
    <row r="6" spans="1:6">
      <c r="A6" s="142" t="s">
        <v>110</v>
      </c>
      <c r="B6" s="144">
        <v>17.577000000000002</v>
      </c>
      <c r="C6" s="143">
        <v>2.2813904534334641</v>
      </c>
      <c r="D6" s="160">
        <v>40.1</v>
      </c>
    </row>
    <row r="7" spans="1:6">
      <c r="A7" s="136" t="s">
        <v>111</v>
      </c>
      <c r="B7" s="144">
        <v>19.75</v>
      </c>
      <c r="C7" s="143">
        <v>2.4962025316455696</v>
      </c>
      <c r="D7" s="160">
        <v>49.3</v>
      </c>
      <c r="E7" s="128"/>
      <c r="F7" s="128"/>
    </row>
    <row r="8" spans="1:6">
      <c r="A8" s="136" t="s">
        <v>112</v>
      </c>
      <c r="B8" s="144">
        <v>19.25</v>
      </c>
      <c r="C8" s="143">
        <v>2.7740259740259741</v>
      </c>
      <c r="D8" s="160">
        <v>53.4</v>
      </c>
      <c r="E8" s="128"/>
      <c r="F8" s="128"/>
    </row>
    <row r="9" spans="1:6">
      <c r="A9" s="136" t="s">
        <v>113</v>
      </c>
      <c r="B9" s="144">
        <v>19.350000000000001</v>
      </c>
      <c r="C9" s="143">
        <v>3.1757105943152455</v>
      </c>
      <c r="D9" s="160">
        <v>61.45</v>
      </c>
      <c r="E9" s="128"/>
      <c r="F9" s="128"/>
    </row>
    <row r="10" spans="1:6">
      <c r="A10" s="136" t="s">
        <v>114</v>
      </c>
      <c r="B10" s="144">
        <v>19.350000000000001</v>
      </c>
      <c r="C10" s="143">
        <v>3.0387596899224807</v>
      </c>
      <c r="D10" s="160">
        <v>58.8</v>
      </c>
      <c r="E10" s="128"/>
      <c r="F10" s="128"/>
    </row>
    <row r="11" spans="1:6">
      <c r="A11" s="136" t="s">
        <v>115</v>
      </c>
      <c r="B11" s="144">
        <v>17.335000000000001</v>
      </c>
      <c r="C11" s="143">
        <v>3.1727718488606866</v>
      </c>
      <c r="D11" s="160">
        <v>55</v>
      </c>
      <c r="E11" s="128"/>
      <c r="F11" s="128"/>
    </row>
    <row r="12" spans="1:6">
      <c r="A12" s="133" t="s">
        <v>116</v>
      </c>
      <c r="B12" s="144">
        <v>16.3</v>
      </c>
      <c r="C12" s="143">
        <v>2.3190184049079754</v>
      </c>
      <c r="D12" s="160">
        <v>37.799999999999997</v>
      </c>
    </row>
    <row r="13" spans="1:6">
      <c r="A13" s="133" t="s">
        <v>117</v>
      </c>
      <c r="B13" s="144">
        <v>16.600000000000001</v>
      </c>
      <c r="C13" s="143">
        <v>3.3313253012048194</v>
      </c>
      <c r="D13" s="160">
        <v>55.3</v>
      </c>
    </row>
    <row r="14" spans="1:6">
      <c r="A14" s="133" t="s">
        <v>118</v>
      </c>
      <c r="B14" s="144">
        <v>16.7</v>
      </c>
      <c r="C14" s="143">
        <v>2.9221556886227544</v>
      </c>
      <c r="D14" s="160">
        <v>48.8</v>
      </c>
    </row>
    <row r="15" spans="1:6">
      <c r="A15" s="133" t="s">
        <v>34</v>
      </c>
      <c r="B15" s="144">
        <v>16.47</v>
      </c>
      <c r="C15" s="143">
        <v>2.8051001821493626</v>
      </c>
      <c r="D15" s="160">
        <v>46.2</v>
      </c>
    </row>
    <row r="16" spans="1:6">
      <c r="A16" s="133" t="s">
        <v>37</v>
      </c>
      <c r="B16" s="144">
        <v>15.9</v>
      </c>
      <c r="C16" s="143">
        <v>2.7610062893081762</v>
      </c>
      <c r="D16" s="160">
        <v>43.9</v>
      </c>
    </row>
    <row r="17" spans="1:4">
      <c r="A17" s="133" t="s">
        <v>161</v>
      </c>
      <c r="B17" s="144">
        <v>15.9</v>
      </c>
      <c r="C17" s="143">
        <v>2.5786163522012577</v>
      </c>
      <c r="D17" s="160">
        <v>41</v>
      </c>
    </row>
    <row r="18" spans="1:4">
      <c r="A18" s="133" t="s">
        <v>162</v>
      </c>
      <c r="B18" s="144">
        <v>15.5</v>
      </c>
      <c r="C18" s="143">
        <v>2.129032258064516</v>
      </c>
      <c r="D18" s="160">
        <v>33</v>
      </c>
    </row>
    <row r="19" spans="1:4">
      <c r="B19" s="144"/>
      <c r="C19" s="143"/>
      <c r="D19" s="129"/>
    </row>
    <row r="20" spans="1:4">
      <c r="B20" s="144"/>
      <c r="C20" s="143"/>
      <c r="D20" s="129"/>
    </row>
    <row r="21" spans="1:4">
      <c r="B21" s="159"/>
      <c r="C21" s="159"/>
      <c r="D21" s="159"/>
    </row>
    <row r="22" spans="1:4">
      <c r="B22" s="159"/>
      <c r="C22" s="143"/>
      <c r="D22" s="159"/>
    </row>
    <row r="23" spans="1:4">
      <c r="B23" s="159"/>
      <c r="C23" s="143"/>
      <c r="D23" s="159"/>
    </row>
    <row r="24" spans="1:4">
      <c r="B24" s="159"/>
      <c r="C24" s="143"/>
      <c r="D24" s="159"/>
    </row>
    <row r="25" spans="1:4">
      <c r="B25" s="159"/>
      <c r="C25" s="143"/>
      <c r="D25" s="159"/>
    </row>
    <row r="26" spans="1:4">
      <c r="B26" s="159"/>
      <c r="D26" s="159"/>
    </row>
    <row r="27" spans="1:4">
      <c r="B27" s="159"/>
      <c r="D27" s="159"/>
    </row>
    <row r="28" spans="1:4">
      <c r="B28" s="159"/>
      <c r="D28" s="159"/>
    </row>
    <row r="29" spans="1:4">
      <c r="B29" s="159"/>
      <c r="D29" s="159"/>
    </row>
    <row r="30" spans="1:4">
      <c r="B30" s="159"/>
      <c r="D30" s="159"/>
    </row>
    <row r="31" spans="1:4">
      <c r="B31" s="159"/>
      <c r="D31" s="159"/>
    </row>
    <row r="32" spans="1:4">
      <c r="B32" s="159"/>
      <c r="D32" s="159"/>
    </row>
    <row r="33" spans="2:4">
      <c r="B33" s="159"/>
      <c r="D33" s="159"/>
    </row>
    <row r="34" spans="2:4">
      <c r="B34" s="159"/>
      <c r="D34" s="159"/>
    </row>
    <row r="35" spans="2:4">
      <c r="B35" s="159"/>
      <c r="D35" s="159"/>
    </row>
    <row r="36" spans="2:4">
      <c r="B36" s="159"/>
      <c r="D36" s="159"/>
    </row>
    <row r="37" spans="2:4">
      <c r="B37" s="159"/>
      <c r="D37" s="159"/>
    </row>
    <row r="38" spans="2:4">
      <c r="B38" s="159"/>
    </row>
    <row r="39" spans="2:4">
      <c r="B39" s="159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Dew, Taylor - REE-ERS, Kansas City, MO</cp:lastModifiedBy>
  <cp:revision/>
  <dcterms:created xsi:type="dcterms:W3CDTF">2001-11-13T16:22:15Z</dcterms:created>
  <dcterms:modified xsi:type="dcterms:W3CDTF">2023-03-10T17:38:39Z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