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E May 2023/"/>
    </mc:Choice>
  </mc:AlternateContent>
  <xr:revisionPtr revIDLastSave="479" documentId="13_ncr:1_{03C732F9-66D6-4CB8-9D4C-9BC0FD2EC223}" xr6:coauthVersionLast="47" xr6:coauthVersionMax="47" xr10:uidLastSave="{6806F495-E983-4DBB-99AC-3DD36DF4CDAB}"/>
  <bookViews>
    <workbookView xWindow="28680" yWindow="-120" windowWidth="29040" windowHeight="15840" tabRatio="873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28" r:id="rId9"/>
    <sheet name="Figure 2" sheetId="130" r:id="rId10"/>
    <sheet name="Figure 3" sheetId="129" r:id="rId11"/>
    <sheet name="Figure 4" sheetId="125" r:id="rId12"/>
    <sheet name="Figure 5" sheetId="131" r:id="rId13"/>
    <sheet name="Figure 6" sheetId="133" r:id="rId14"/>
    <sheet name="Figure 7" sheetId="127" r:id="rId15"/>
  </sheets>
  <definedNames>
    <definedName name="_xlnm.Print_Area" localSheetId="1">'Table 1'!$A$1:$N$41</definedName>
    <definedName name="_xlnm.Print_Area" localSheetId="7">'Table 10'!$A$1:$G$44</definedName>
    <definedName name="_xlnm.Print_Area" localSheetId="2">'Table 2'!$A$1:$J$33</definedName>
    <definedName name="_xlnm.Print_Area" localSheetId="3">'Table 3'!$A$1:$L$46</definedName>
    <definedName name="_xlnm.Print_Area" localSheetId="5">'Table 8'!$A$1:$G$43</definedName>
    <definedName name="_xlnm.Print_Area" localSheetId="6">'Table 9'!$A$1:$I$45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9" l="1"/>
  <c r="D31" i="2"/>
  <c r="J31" i="9" l="1"/>
  <c r="H31" i="2"/>
  <c r="G38" i="1" l="1"/>
  <c r="L38" i="1" l="1"/>
  <c r="L6" i="1" l="1"/>
  <c r="J38" i="1" l="1"/>
  <c r="E46" i="3"/>
  <c r="H46" i="3" s="1"/>
  <c r="N46" i="3" s="1"/>
  <c r="L46" i="3" s="1"/>
  <c r="D46" i="3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2"/>
  <c r="E8" i="2" s="1"/>
  <c r="I8" i="2" s="1"/>
  <c r="E8" i="1"/>
  <c r="H8" i="1" s="1"/>
  <c r="M8" i="1" s="1"/>
  <c r="K8" i="1" s="1"/>
  <c r="E7" i="1"/>
  <c r="D8" i="1"/>
  <c r="E8" i="9" l="1"/>
  <c r="K8" i="9" s="1"/>
  <c r="G8" i="9" s="1"/>
  <c r="I8" i="9" s="1"/>
  <c r="B8" i="9"/>
  <c r="B11" i="9"/>
  <c r="B11" i="2"/>
  <c r="E14" i="1"/>
  <c r="B31" i="9" l="1"/>
  <c r="E31" i="9" s="1"/>
  <c r="K31" i="9" s="1"/>
  <c r="G31" i="9" s="1"/>
  <c r="B31" i="2"/>
  <c r="E31" i="2" s="1"/>
  <c r="I31" i="2" s="1"/>
  <c r="G31" i="2" s="1"/>
  <c r="G27" i="1"/>
  <c r="D30" i="9" l="1"/>
  <c r="D30" i="2"/>
  <c r="J30" i="9" l="1"/>
  <c r="H30" i="2"/>
  <c r="G36" i="1" l="1"/>
  <c r="L36" i="1" l="1"/>
  <c r="N37" i="1" l="1"/>
  <c r="N33" i="1"/>
  <c r="E37" i="1" s="1"/>
  <c r="B30" i="9" l="1"/>
  <c r="E30" i="9" s="1"/>
  <c r="K30" i="9" s="1"/>
  <c r="G30" i="9" s="1"/>
  <c r="I30" i="9" s="1"/>
  <c r="B30" i="2"/>
  <c r="E30" i="2" s="1"/>
  <c r="I30" i="2" s="1"/>
  <c r="G30" i="2" s="1"/>
  <c r="J36" i="1"/>
  <c r="J29" i="9" l="1"/>
  <c r="D29" i="9"/>
  <c r="H29" i="2"/>
  <c r="D29" i="2"/>
  <c r="G35" i="1"/>
  <c r="L35" i="1"/>
  <c r="J35" i="1"/>
  <c r="J34" i="1"/>
  <c r="J37" i="1" s="1"/>
  <c r="J32" i="1"/>
  <c r="J31" i="1"/>
  <c r="J30" i="1"/>
  <c r="J25" i="1"/>
  <c r="J24" i="1"/>
  <c r="J23" i="1"/>
  <c r="J21" i="1"/>
  <c r="J20" i="1"/>
  <c r="J19" i="1"/>
  <c r="J17" i="1"/>
  <c r="J16" i="1"/>
  <c r="B29" i="9"/>
  <c r="E29" i="9" s="1"/>
  <c r="K29" i="9" s="1"/>
  <c r="B29" i="2"/>
  <c r="E29" i="2" s="1"/>
  <c r="I29" i="2" s="1"/>
  <c r="G29" i="2" s="1"/>
  <c r="G29" i="9" l="1"/>
  <c r="I29" i="9" s="1"/>
  <c r="G34" i="1"/>
  <c r="G37" i="1" s="1"/>
  <c r="H37" i="1" s="1"/>
  <c r="M37" i="1" s="1"/>
  <c r="D28" i="9"/>
  <c r="J28" i="9"/>
  <c r="H28" i="2"/>
  <c r="D28" i="2"/>
  <c r="L34" i="1"/>
  <c r="L37" i="1" s="1"/>
  <c r="K37" i="1" l="1"/>
  <c r="B28" i="9"/>
  <c r="E28" i="9" s="1"/>
  <c r="K28" i="9" s="1"/>
  <c r="G28" i="9" s="1"/>
  <c r="I28" i="9" s="1"/>
  <c r="B28" i="2"/>
  <c r="E28" i="2" s="1"/>
  <c r="I28" i="2" s="1"/>
  <c r="G28" i="2" s="1"/>
  <c r="N26" i="1"/>
  <c r="F33" i="1"/>
  <c r="D27" i="9" l="1"/>
  <c r="D27" i="2"/>
  <c r="J27" i="9" l="1"/>
  <c r="H27" i="2"/>
  <c r="G32" i="1" l="1"/>
  <c r="L32" i="1" l="1"/>
  <c r="B27" i="9" l="1"/>
  <c r="E27" i="9" s="1"/>
  <c r="K27" i="9" s="1"/>
  <c r="G27" i="9" s="1"/>
  <c r="I27" i="9" s="1"/>
  <c r="B27" i="2"/>
  <c r="E27" i="2" s="1"/>
  <c r="I27" i="2" s="1"/>
  <c r="G27" i="2" s="1"/>
  <c r="D26" i="9"/>
  <c r="J26" i="9"/>
  <c r="H26" i="2"/>
  <c r="D26" i="2"/>
  <c r="L31" i="1" l="1"/>
  <c r="G31" i="1"/>
  <c r="B26" i="9" l="1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H22" i="2"/>
  <c r="G30" i="1"/>
  <c r="G33" i="1" s="1"/>
  <c r="G39" i="1" s="1"/>
  <c r="L30" i="1"/>
  <c r="L33" i="1" s="1"/>
  <c r="L39" i="1" s="1"/>
  <c r="J22" i="9" l="1"/>
  <c r="D22" i="9"/>
  <c r="D22" i="2"/>
  <c r="E33" i="4" l="1"/>
  <c r="J33" i="1"/>
  <c r="J39" i="1" s="1"/>
  <c r="L6" i="9" l="1"/>
  <c r="J6" i="9"/>
  <c r="H23" i="9"/>
  <c r="D6" i="9"/>
  <c r="C23" i="9"/>
  <c r="B22" i="9"/>
  <c r="E22" i="9" s="1"/>
  <c r="K22" i="9" s="1"/>
  <c r="J6" i="2"/>
  <c r="B22" i="2"/>
  <c r="E22" i="2" s="1"/>
  <c r="I22" i="2" s="1"/>
  <c r="G22" i="2" s="1"/>
  <c r="C23" i="2"/>
  <c r="C6" i="2" s="1"/>
  <c r="C6" i="9" l="1"/>
  <c r="G22" i="9"/>
  <c r="I22" i="9" s="1"/>
  <c r="B46" i="6" l="1"/>
  <c r="B46" i="5"/>
  <c r="B45" i="4"/>
  <c r="B50" i="3"/>
  <c r="B34" i="9"/>
  <c r="B34" i="2"/>
  <c r="B42" i="1"/>
  <c r="D21" i="9" l="1"/>
  <c r="D21" i="2"/>
  <c r="G25" i="1" l="1"/>
  <c r="J21" i="9" l="1"/>
  <c r="H21" i="2"/>
  <c r="L25" i="1" l="1"/>
  <c r="F14" i="1" l="1"/>
  <c r="G33" i="4" l="1"/>
  <c r="F33" i="4"/>
  <c r="D33" i="4"/>
  <c r="C33" i="4"/>
  <c r="B33" i="4"/>
  <c r="E26" i="1"/>
  <c r="F27" i="1"/>
  <c r="E33" i="1"/>
  <c r="B21" i="2"/>
  <c r="E21" i="2" s="1"/>
  <c r="I21" i="2" s="1"/>
  <c r="G21" i="2" s="1"/>
  <c r="B21" i="9"/>
  <c r="E21" i="9" s="1"/>
  <c r="K21" i="9" s="1"/>
  <c r="H33" i="1" l="1"/>
  <c r="M33" i="1" s="1"/>
  <c r="F6" i="1"/>
  <c r="H27" i="1"/>
  <c r="N6" i="1"/>
  <c r="G21" i="9"/>
  <c r="J20" i="9"/>
  <c r="H20" i="2"/>
  <c r="K33" i="1" l="1"/>
  <c r="I21" i="9"/>
  <c r="D20" i="9"/>
  <c r="D20" i="2"/>
  <c r="G24" i="1" l="1"/>
  <c r="L24" i="1" l="1"/>
  <c r="B20" i="9" l="1"/>
  <c r="E20" i="9" s="1"/>
  <c r="K20" i="9" s="1"/>
  <c r="G20" i="9" s="1"/>
  <c r="I20" i="9" s="1"/>
  <c r="B20" i="2"/>
  <c r="E20" i="2" s="1"/>
  <c r="I20" i="2" s="1"/>
  <c r="G20" i="2" s="1"/>
  <c r="D45" i="3" l="1"/>
  <c r="H19" i="2" l="1"/>
  <c r="H18" i="2"/>
  <c r="H17" i="2"/>
  <c r="H16" i="2"/>
  <c r="H15" i="2"/>
  <c r="H14" i="2"/>
  <c r="H13" i="2"/>
  <c r="H12" i="2"/>
  <c r="H11" i="2"/>
  <c r="H6" i="2" s="1"/>
  <c r="D19" i="2"/>
  <c r="D18" i="2"/>
  <c r="D17" i="2"/>
  <c r="D16" i="2"/>
  <c r="D15" i="2"/>
  <c r="D14" i="2"/>
  <c r="D13" i="2"/>
  <c r="D12" i="2"/>
  <c r="D11" i="2"/>
  <c r="D6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H26" i="1" l="1"/>
  <c r="M26" i="1" s="1"/>
  <c r="J26" i="1"/>
  <c r="B19" i="9"/>
  <c r="E19" i="9" s="1"/>
  <c r="K19" i="9" s="1"/>
  <c r="G19" i="9" s="1"/>
  <c r="I19" i="9" s="1"/>
  <c r="B19" i="2"/>
  <c r="E19" i="2" s="1"/>
  <c r="I19" i="2" s="1"/>
  <c r="G19" i="2" s="1"/>
  <c r="K26" i="1" l="1"/>
  <c r="E22" i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5" i="3" l="1"/>
  <c r="H45" i="3" s="1"/>
  <c r="N45" i="3" s="1"/>
  <c r="L45" i="3" s="1"/>
  <c r="B32" i="3"/>
  <c r="E32" i="3" s="1"/>
  <c r="I32" i="3" s="1"/>
  <c r="G32" i="3" s="1"/>
  <c r="B20" i="3"/>
  <c r="E20" i="3" s="1"/>
  <c r="B7" i="3"/>
  <c r="E7" i="3" s="1"/>
  <c r="J7" i="3" s="1"/>
  <c r="I7" i="3" s="1"/>
  <c r="B7" i="9"/>
  <c r="E7" i="9" s="1"/>
  <c r="K7" i="9" s="1"/>
  <c r="G7" i="9" s="1"/>
  <c r="I7" i="9" s="1"/>
  <c r="B7" i="2"/>
  <c r="E7" i="2" s="1"/>
  <c r="I7" i="2" s="1"/>
  <c r="D7" i="1"/>
  <c r="B16" i="9"/>
  <c r="B16" i="2"/>
  <c r="E16" i="2" s="1"/>
  <c r="I16" i="2" s="1"/>
  <c r="L22" i="1"/>
  <c r="J22" i="1"/>
  <c r="G22" i="1"/>
  <c r="H22" i="1" s="1"/>
  <c r="G20" i="3" l="1"/>
  <c r="I20" i="3" s="1"/>
  <c r="H7" i="1"/>
  <c r="M7" i="1" s="1"/>
  <c r="K7" i="1" s="1"/>
  <c r="M22" i="1"/>
  <c r="K22" i="1" s="1"/>
  <c r="E16" i="9"/>
  <c r="K16" i="9" s="1"/>
  <c r="G16" i="9" s="1"/>
  <c r="I16" i="9" s="1"/>
  <c r="G16" i="2"/>
  <c r="B15" i="9"/>
  <c r="B15" i="2"/>
  <c r="E18" i="1"/>
  <c r="E15" i="9" l="1"/>
  <c r="K15" i="9" s="1"/>
  <c r="G15" i="9" s="1"/>
  <c r="I15" i="9" s="1"/>
  <c r="E15" i="2"/>
  <c r="I15" i="2" s="1"/>
  <c r="G15" i="2" s="1"/>
  <c r="B14" i="9" l="1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6" i="9" s="1"/>
  <c r="E11" i="2"/>
  <c r="I11" i="2" s="1"/>
  <c r="E23" i="2"/>
  <c r="E6" i="2" s="1"/>
  <c r="G11" i="9" l="1"/>
  <c r="K23" i="9"/>
  <c r="G11" i="2"/>
  <c r="G23" i="2" s="1"/>
  <c r="G6" i="2" s="1"/>
  <c r="I23" i="2"/>
  <c r="I6" i="2" s="1"/>
  <c r="L14" i="1"/>
  <c r="G14" i="1"/>
  <c r="I11" i="9" l="1"/>
  <c r="I23" i="9" s="1"/>
  <c r="G23" i="9"/>
  <c r="G6" i="1"/>
  <c r="H14" i="1"/>
  <c r="M14" i="1" s="1"/>
  <c r="M27" i="1" s="1"/>
  <c r="J11" i="1"/>
  <c r="J14" i="1" s="1"/>
  <c r="J27" i="1" l="1"/>
  <c r="J6" i="1" s="1"/>
  <c r="K14" i="1"/>
  <c r="K27" i="1" s="1"/>
  <c r="D44" i="3" l="1"/>
  <c r="D6" i="1"/>
  <c r="K6" i="9" l="1"/>
  <c r="G6" i="9" s="1"/>
  <c r="I6" i="9" s="1"/>
  <c r="E6" i="3" l="1"/>
  <c r="J6" i="3" s="1"/>
  <c r="I6" i="3" s="1"/>
  <c r="E19" i="3"/>
  <c r="G19" i="3" s="1"/>
  <c r="I19" i="3" s="1"/>
  <c r="H44" i="3"/>
  <c r="N44" i="3" s="1"/>
  <c r="L44" i="3" s="1"/>
  <c r="E31" i="3" l="1"/>
  <c r="I31" i="3" s="1"/>
  <c r="G31" i="3" s="1"/>
  <c r="H6" i="1" l="1"/>
  <c r="M6" i="1" s="1"/>
  <c r="K6" i="1" s="1"/>
</calcChain>
</file>

<file path=xl/sharedStrings.xml><?xml version="1.0" encoding="utf-8"?>
<sst xmlns="http://schemas.openxmlformats.org/spreadsheetml/2006/main" count="623" uniqueCount="226">
  <si>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</si>
  <si>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</si>
  <si>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</si>
  <si>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</si>
  <si>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</si>
  <si>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</si>
  <si>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</si>
  <si>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</si>
  <si>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</si>
  <si>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</si>
  <si>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</si>
  <si>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</si>
  <si>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</si>
  <si>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</si>
  <si>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</si>
  <si>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</si>
  <si>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</si>
  <si>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</si>
  <si>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</si>
  <si>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</si>
  <si>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</si>
  <si>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</si>
  <si>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</si>
  <si>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</si>
  <si>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</si>
  <si>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</si>
  <si>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</si>
  <si>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</si>
  <si>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</si>
  <si>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</si>
  <si>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</si>
  <si>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</si>
  <si>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</si>
  <si>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</si>
  <si>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</si>
  <si>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</si>
  <si>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</si>
  <si>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</si>
  <si>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</si>
  <si>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</si>
  <si>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</si>
  <si>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</si>
  <si>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</si>
  <si>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</si>
  <si>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</si>
  <si>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</si>
  <si>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</si>
  <si>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</si>
  <si>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</si>
  <si>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</si>
  <si>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</si>
  <si>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</si>
  <si>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</si>
  <si>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</si>
  <si>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</si>
  <si>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</si>
  <si>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</si>
  <si>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</si>
  <si>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</si>
  <si>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</si>
  <si>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</si>
  <si>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</si>
  <si>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</si>
  <si>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</si>
  <si>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</si>
  <si>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</si>
  <si>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</si>
  <si>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</si>
  <si>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</si>
  <si>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</si>
  <si>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</si>
  <si>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</si>
  <si>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</si>
  <si>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</si>
  <si>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</si>
  <si>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</si>
  <si>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</si>
  <si>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</si>
  <si>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</si>
  <si>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</si>
  <si>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</si>
  <si>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</si>
  <si>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</si>
  <si>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</si>
  <si>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</si>
  <si>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</si>
  <si>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</si>
  <si>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</si>
  <si>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</si>
  <si>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 xml:space="preserve">food </t>
  </si>
  <si>
    <t>1,000 acres</t>
  </si>
  <si>
    <t>Pounds/acre</t>
  </si>
  <si>
    <t xml:space="preserve">      Million pounds</t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</si>
  <si>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</si>
  <si>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</si>
  <si>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</si>
  <si>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</si>
  <si>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</si>
  <si>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</si>
  <si>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</si>
  <si>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</si>
  <si>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</si>
  <si>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</si>
  <si>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</si>
  <si>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</si>
  <si>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</si>
  <si>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</si>
  <si>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</si>
  <si>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</si>
  <si>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</si>
  <si>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</si>
  <si>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</si>
  <si>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</si>
  <si>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</si>
  <si>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</si>
  <si>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</si>
  <si>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</si>
  <si>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</si>
  <si>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</si>
  <si>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</si>
  <si>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</si>
  <si>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</si>
  <si>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</si>
  <si>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</si>
  <si>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</si>
  <si>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</si>
  <si>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</si>
  <si>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</si>
  <si>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</si>
  <si>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</si>
  <si>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</si>
  <si>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</si>
  <si>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</si>
  <si>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</si>
  <si>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</si>
  <si>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</si>
  <si>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</si>
  <si>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</si>
  <si>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</si>
  <si>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</si>
  <si>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</si>
  <si>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</si>
  <si>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</si>
  <si>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</si>
  <si>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</si>
  <si>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</si>
  <si>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</si>
  <si>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</si>
  <si>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Marketing year</t>
  </si>
  <si>
    <t>Date</t>
  </si>
  <si>
    <t>2023/24*</t>
  </si>
  <si>
    <t>May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</si>
  <si>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</si>
  <si>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</si>
  <si>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</si>
  <si>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</si>
  <si>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</si>
  <si>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</si>
  <si>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</si>
  <si>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</si>
  <si>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</si>
  <si>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Domestic disappearance</t>
  </si>
  <si>
    <t>Oct. 2021</t>
  </si>
  <si>
    <t>Nov. 2021</t>
  </si>
  <si>
    <t>Dec. 2021</t>
  </si>
  <si>
    <t>Jan. 2022</t>
  </si>
  <si>
    <t>Feb. 2022</t>
  </si>
  <si>
    <t>Mar. 2022</t>
  </si>
  <si>
    <t>Apr. 2022</t>
  </si>
  <si>
    <t>Oct. 2020</t>
  </si>
  <si>
    <t>Nov. 2020</t>
  </si>
  <si>
    <t>Dec. 2020</t>
  </si>
  <si>
    <t>Jan. 2021</t>
  </si>
  <si>
    <t>Feb. 2021</t>
  </si>
  <si>
    <t>Mar. 2021</t>
  </si>
  <si>
    <t>Apr. 2021</t>
  </si>
  <si>
    <t>May 2021</t>
  </si>
  <si>
    <t>Jun. 2021</t>
  </si>
  <si>
    <t>Aug. 2021</t>
  </si>
  <si>
    <t>Sep. 2021</t>
  </si>
  <si>
    <t>Jul. 2021</t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</si>
  <si>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</si>
  <si>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t>Source: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</si>
  <si>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</si>
  <si>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</si>
  <si>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</si>
  <si>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Rest of the world</t>
  </si>
  <si>
    <r>
      <t>2023/24</t>
    </r>
    <r>
      <rPr>
        <vertAlign val="superscript"/>
        <sz val="11"/>
        <rFont val="Arial"/>
        <family val="2"/>
      </rPr>
      <t>2</t>
    </r>
  </si>
  <si>
    <r>
      <t>2022/23</t>
    </r>
    <r>
      <rPr>
        <vertAlign val="superscript"/>
        <sz val="11"/>
        <rFont val="Arial"/>
        <family val="2"/>
      </rPr>
      <t>1</t>
    </r>
  </si>
  <si>
    <r>
      <t>2023/24</t>
    </r>
    <r>
      <rPr>
        <vertAlign val="superscript"/>
        <sz val="11"/>
        <rFont val="Arial"/>
        <family val="2"/>
      </rPr>
      <t>4</t>
    </r>
  </si>
  <si>
    <r>
      <t>2023/24</t>
    </r>
    <r>
      <rPr>
        <vertAlign val="superscript"/>
        <sz val="11"/>
        <rFont val="Arial"/>
        <family val="2"/>
      </rPr>
      <t>7</t>
    </r>
  </si>
  <si>
    <t>Ending stocks</t>
  </si>
  <si>
    <t xml:space="preserve">Argentina                     </t>
  </si>
  <si>
    <t xml:space="preserve">Brazil                        </t>
  </si>
  <si>
    <t xml:space="preserve">United States                 </t>
  </si>
  <si>
    <t>World</t>
  </si>
  <si>
    <t>2022/23*</t>
  </si>
  <si>
    <t>Biofuel</t>
  </si>
  <si>
    <t>Food, feed, and other industrial use</t>
  </si>
  <si>
    <t>Soybean oil</t>
  </si>
  <si>
    <t>Canola oil</t>
  </si>
  <si>
    <t>Oct. 2019</t>
  </si>
  <si>
    <t>Nov. 2019</t>
  </si>
  <si>
    <t>Dec. 2019</t>
  </si>
  <si>
    <t>Jan. 2020</t>
  </si>
  <si>
    <t>Feb. 2020</t>
  </si>
  <si>
    <t>Mar. 2020</t>
  </si>
  <si>
    <t>Apr. 2020</t>
  </si>
  <si>
    <t>May 2020</t>
  </si>
  <si>
    <t>Jun. 2020</t>
  </si>
  <si>
    <t>Jul. 2020</t>
  </si>
  <si>
    <t>Aug. 2020</t>
  </si>
  <si>
    <t>Sep. 2020</t>
  </si>
  <si>
    <t>Mar. 2023</t>
  </si>
  <si>
    <t>Apr. 2023</t>
  </si>
  <si>
    <t>Demand</t>
  </si>
  <si>
    <t>Export price U.S. Dollars per Metric Ton</t>
  </si>
  <si>
    <t>Year Beg Oct 1</t>
  </si>
  <si>
    <t>2022 YTD</t>
  </si>
  <si>
    <t>Palm oil</t>
  </si>
  <si>
    <t>Rapeseed oil</t>
  </si>
  <si>
    <t>Sunflowerseed oil</t>
  </si>
  <si>
    <t>Soybeans, U.S. No. 2, CIF Rotterdam, NL</t>
  </si>
  <si>
    <t>Sunflowerseed, CIF Rotterdam, NL</t>
  </si>
  <si>
    <t>Rapeseed, CIF Hamburg, DE</t>
  </si>
  <si>
    <t>Other oils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</si>
</sst>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[$-409]mmm\-yy;@"/>
    <numFmt numFmtId="176" formatCode="#,##0.000_);\(#,##0.000\)"/>
    <numFmt numFmtId="177" formatCode="#,##0.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9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40" fillId="0" borderId="0"/>
    <xf numFmtId="0" fontId="25" fillId="0" borderId="0"/>
    <xf numFmtId="0" fontId="24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19" fillId="0" borderId="0"/>
    <xf numFmtId="43" fontId="19" fillId="0" borderId="0" applyFont="0" applyFill="0" applyBorder="0" applyAlignment="0" applyProtection="0"/>
    <xf numFmtId="0" fontId="18" fillId="0" borderId="0"/>
    <xf numFmtId="44" fontId="26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43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8">
    <xf numFmtId="0" fontId="0" fillId="0" borderId="0" xfId="0"/>
    <xf numFmtId="0" fontId="27" fillId="0" borderId="0" xfId="8"/>
    <xf numFmtId="0" fontId="28" fillId="0" borderId="0" xfId="8" applyFont="1"/>
    <xf numFmtId="0" fontId="33" fillId="0" borderId="0" xfId="8" applyFont="1"/>
    <xf numFmtId="0" fontId="34" fillId="0" borderId="0" xfId="8" applyFont="1"/>
    <xf numFmtId="169" fontId="35" fillId="0" borderId="0" xfId="1" applyNumberFormat="1" applyFont="1" applyFill="1" applyBorder="1" applyAlignment="1">
      <alignment horizontal="center"/>
    </xf>
    <xf numFmtId="169" fontId="35" fillId="0" borderId="0" xfId="1" applyNumberFormat="1" applyFont="1" applyFill="1" applyBorder="1" applyAlignment="1">
      <alignment horizontal="right" indent="1"/>
    </xf>
    <xf numFmtId="0" fontId="41" fillId="0" borderId="0" xfId="7" applyFont="1" applyAlignment="1">
      <alignment horizontal="left"/>
    </xf>
    <xf numFmtId="0" fontId="42" fillId="0" borderId="0" xfId="5" applyFont="1" applyAlignment="1" applyProtection="1"/>
    <xf numFmtId="14" fontId="41" fillId="0" borderId="0" xfId="7" applyNumberFormat="1" applyFont="1" applyAlignment="1">
      <alignment horizontal="left"/>
    </xf>
    <xf numFmtId="0" fontId="42" fillId="0" borderId="0" xfId="4" applyFont="1" applyAlignment="1" applyProtection="1"/>
    <xf numFmtId="0" fontId="35" fillId="0" borderId="0" xfId="7" quotePrefix="1" applyFont="1" applyAlignment="1">
      <alignment horizontal="left"/>
    </xf>
    <xf numFmtId="0" fontId="35" fillId="0" borderId="0" xfId="8" applyFont="1" applyAlignment="1">
      <alignment wrapText="1"/>
    </xf>
    <xf numFmtId="169" fontId="35" fillId="0" borderId="0" xfId="1" applyNumberFormat="1" applyFont="1" applyFill="1" applyBorder="1" applyAlignment="1">
      <alignment horizontal="right"/>
    </xf>
    <xf numFmtId="2" fontId="35" fillId="0" borderId="1" xfId="0" applyNumberFormat="1" applyFont="1" applyBorder="1" applyAlignment="1">
      <alignment horizontal="right" indent="2"/>
    </xf>
    <xf numFmtId="0" fontId="35" fillId="0" borderId="1" xfId="0" applyFont="1" applyBorder="1"/>
    <xf numFmtId="0" fontId="35" fillId="0" borderId="0" xfId="0" applyFont="1"/>
    <xf numFmtId="0" fontId="35" fillId="0" borderId="2" xfId="0" applyFont="1" applyBorder="1" applyAlignment="1">
      <alignment horizontal="right"/>
    </xf>
    <xf numFmtId="0" fontId="35" fillId="0" borderId="0" xfId="0" applyFont="1" applyAlignment="1">
      <alignment horizontal="center"/>
    </xf>
    <xf numFmtId="0" fontId="0" fillId="0" borderId="2" xfId="0" applyBorder="1"/>
    <xf numFmtId="0" fontId="35" fillId="0" borderId="2" xfId="0" applyFont="1" applyBorder="1" applyAlignment="1">
      <alignment horizontal="left"/>
    </xf>
    <xf numFmtId="0" fontId="35" fillId="0" borderId="0" xfId="0" applyFont="1" applyAlignment="1">
      <alignment horizontal="right"/>
    </xf>
    <xf numFmtId="16" fontId="35" fillId="0" borderId="1" xfId="0" quotePrefix="1" applyNumberFormat="1" applyFont="1" applyBorder="1"/>
    <xf numFmtId="16" fontId="35" fillId="0" borderId="1" xfId="0" applyNumberFormat="1" applyFont="1" applyBorder="1"/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right"/>
    </xf>
    <xf numFmtId="0" fontId="35" fillId="0" borderId="1" xfId="0" applyFont="1" applyBorder="1" applyAlignment="1">
      <alignment horizontal="right" indent="1"/>
    </xf>
    <xf numFmtId="0" fontId="0" fillId="0" borderId="0" xfId="0" applyAlignment="1">
      <alignment horizontal="left" indent="1"/>
    </xf>
    <xf numFmtId="0" fontId="36" fillId="0" borderId="3" xfId="0" quotePrefix="1" applyFont="1" applyBorder="1" applyAlignment="1">
      <alignment horizontal="center"/>
    </xf>
    <xf numFmtId="0" fontId="36" fillId="0" borderId="0" xfId="0" quotePrefix="1" applyFont="1" applyAlignment="1">
      <alignment horizontal="right"/>
    </xf>
    <xf numFmtId="167" fontId="35" fillId="0" borderId="0" xfId="0" applyNumberFormat="1" applyFont="1" applyAlignment="1">
      <alignment horizontal="center"/>
    </xf>
    <xf numFmtId="165" fontId="35" fillId="0" borderId="0" xfId="1" applyNumberFormat="1" applyFont="1" applyFill="1" applyAlignment="1">
      <alignment horizontal="left"/>
    </xf>
    <xf numFmtId="165" fontId="35" fillId="0" borderId="0" xfId="1" applyNumberFormat="1" applyFont="1" applyFill="1" applyAlignment="1">
      <alignment horizontal="center"/>
    </xf>
    <xf numFmtId="3" fontId="35" fillId="0" borderId="0" xfId="1" applyNumberFormat="1" applyFont="1" applyFill="1" applyBorder="1" applyAlignment="1">
      <alignment horizontal="right" indent="1"/>
    </xf>
    <xf numFmtId="164" fontId="35" fillId="0" borderId="0" xfId="1" applyNumberFormat="1" applyFont="1" applyFill="1" applyBorder="1"/>
    <xf numFmtId="164" fontId="35" fillId="0" borderId="0" xfId="1" applyNumberFormat="1" applyFont="1" applyFill="1" applyBorder="1" applyAlignment="1">
      <alignment horizontal="right"/>
    </xf>
    <xf numFmtId="0" fontId="41" fillId="0" borderId="0" xfId="0" applyFont="1"/>
    <xf numFmtId="169" fontId="35" fillId="0" borderId="0" xfId="1" quotePrefix="1" applyNumberFormat="1" applyFont="1" applyFill="1" applyBorder="1" applyAlignment="1">
      <alignment horizontal="right"/>
    </xf>
    <xf numFmtId="164" fontId="35" fillId="0" borderId="0" xfId="1" applyNumberFormat="1" applyFont="1" applyFill="1" applyBorder="1" applyAlignment="1">
      <alignment horizontal="center"/>
    </xf>
    <xf numFmtId="164" fontId="35" fillId="0" borderId="0" xfId="1" quotePrefix="1" applyNumberFormat="1" applyFont="1" applyFill="1" applyBorder="1" applyAlignment="1">
      <alignment horizontal="center"/>
    </xf>
    <xf numFmtId="169" fontId="0" fillId="0" borderId="0" xfId="0" applyNumberFormat="1"/>
    <xf numFmtId="169" fontId="35" fillId="0" borderId="1" xfId="1" applyNumberFormat="1" applyFont="1" applyFill="1" applyBorder="1" applyAlignment="1">
      <alignment horizontal="right" indent="1"/>
    </xf>
    <xf numFmtId="164" fontId="35" fillId="0" borderId="0" xfId="1" applyNumberFormat="1" applyFont="1" applyFill="1"/>
    <xf numFmtId="14" fontId="35" fillId="0" borderId="0" xfId="0" applyNumberFormat="1" applyFont="1" applyAlignment="1">
      <alignment horizontal="left"/>
    </xf>
    <xf numFmtId="3" fontId="35" fillId="0" borderId="0" xfId="1" applyNumberFormat="1" applyFont="1" applyFill="1" applyAlignment="1">
      <alignment horizontal="right" indent="2"/>
    </xf>
    <xf numFmtId="3" fontId="35" fillId="0" borderId="0" xfId="1" applyNumberFormat="1" applyFont="1" applyFill="1" applyAlignment="1">
      <alignment horizontal="right" indent="1"/>
    </xf>
    <xf numFmtId="3" fontId="35" fillId="0" borderId="0" xfId="1" applyNumberFormat="1" applyFont="1" applyFill="1" applyAlignment="1">
      <alignment horizontal="center"/>
    </xf>
    <xf numFmtId="169" fontId="35" fillId="0" borderId="0" xfId="1" applyNumberFormat="1" applyFont="1" applyFill="1" applyBorder="1" applyAlignment="1">
      <alignment horizontal="right" indent="2"/>
    </xf>
    <xf numFmtId="169" fontId="35" fillId="0" borderId="1" xfId="1" applyNumberFormat="1" applyFont="1" applyFill="1" applyBorder="1" applyAlignment="1">
      <alignment horizontal="right" indent="2"/>
    </xf>
    <xf numFmtId="0" fontId="37" fillId="0" borderId="0" xfId="0" applyFont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5" fillId="0" borderId="1" xfId="1" applyNumberFormat="1" applyFont="1" applyFill="1" applyBorder="1" applyAlignment="1">
      <alignment horizontal="center"/>
    </xf>
    <xf numFmtId="165" fontId="35" fillId="0" borderId="1" xfId="1" applyNumberFormat="1" applyFont="1" applyFill="1" applyBorder="1" applyAlignment="1">
      <alignment horizontal="right"/>
    </xf>
    <xf numFmtId="16" fontId="35" fillId="0" borderId="0" xfId="0" applyNumberFormat="1" applyFont="1"/>
    <xf numFmtId="0" fontId="36" fillId="0" borderId="0" xfId="0" applyFont="1" applyAlignment="1">
      <alignment horizontal="center"/>
    </xf>
    <xf numFmtId="2" fontId="35" fillId="0" borderId="0" xfId="0" applyNumberFormat="1" applyFont="1" applyAlignment="1">
      <alignment horizontal="right" indent="2"/>
    </xf>
    <xf numFmtId="170" fontId="35" fillId="0" borderId="0" xfId="0" applyNumberFormat="1" applyFont="1"/>
    <xf numFmtId="43" fontId="35" fillId="0" borderId="0" xfId="1" quotePrefix="1" applyFont="1" applyFill="1" applyBorder="1" applyAlignment="1">
      <alignment horizontal="center"/>
    </xf>
    <xf numFmtId="166" fontId="35" fillId="0" borderId="0" xfId="1" quotePrefix="1" applyNumberFormat="1" applyFont="1" applyFill="1" applyBorder="1" applyAlignment="1">
      <alignment horizontal="center"/>
    </xf>
    <xf numFmtId="43" fontId="35" fillId="0" borderId="0" xfId="1" applyFont="1" applyFill="1" applyBorder="1" applyAlignment="1">
      <alignment horizontal="center"/>
    </xf>
    <xf numFmtId="0" fontId="41" fillId="0" borderId="0" xfId="0" quotePrefix="1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indent="1"/>
    </xf>
    <xf numFmtId="0" fontId="35" fillId="0" borderId="3" xfId="0" applyFont="1" applyBorder="1" applyAlignment="1">
      <alignment horizontal="center"/>
    </xf>
    <xf numFmtId="0" fontId="35" fillId="0" borderId="1" xfId="0" applyFont="1" applyBorder="1" applyAlignment="1">
      <alignment horizontal="left"/>
    </xf>
    <xf numFmtId="0" fontId="36" fillId="0" borderId="3" xfId="0" quotePrefix="1" applyFont="1" applyBorder="1"/>
    <xf numFmtId="0" fontId="36" fillId="0" borderId="3" xfId="0" applyFont="1" applyBorder="1"/>
    <xf numFmtId="43" fontId="35" fillId="0" borderId="0" xfId="1" applyFont="1" applyFill="1" applyBorder="1"/>
    <xf numFmtId="2" fontId="35" fillId="0" borderId="0" xfId="0" applyNumberFormat="1" applyFont="1" applyAlignment="1">
      <alignment horizontal="center"/>
    </xf>
    <xf numFmtId="43" fontId="35" fillId="0" borderId="0" xfId="0" applyNumberFormat="1" applyFont="1"/>
    <xf numFmtId="0" fontId="30" fillId="0" borderId="0" xfId="0" applyFont="1"/>
    <xf numFmtId="2" fontId="0" fillId="0" borderId="0" xfId="0" applyNumberFormat="1"/>
    <xf numFmtId="165" fontId="35" fillId="0" borderId="0" xfId="1" applyNumberFormat="1" applyFont="1" applyFill="1" applyBorder="1" applyAlignment="1">
      <alignment horizontal="center"/>
    </xf>
    <xf numFmtId="47" fontId="0" fillId="0" borderId="0" xfId="0" applyNumberFormat="1"/>
    <xf numFmtId="43" fontId="0" fillId="0" borderId="0" xfId="1" applyFont="1" applyFill="1"/>
    <xf numFmtId="0" fontId="39" fillId="0" borderId="0" xfId="0" applyFont="1" applyAlignment="1">
      <alignment vertical="center"/>
    </xf>
    <xf numFmtId="168" fontId="35" fillId="0" borderId="0" xfId="0" applyNumberFormat="1" applyFont="1"/>
    <xf numFmtId="2" fontId="35" fillId="0" borderId="0" xfId="0" applyNumberFormat="1" applyFont="1"/>
    <xf numFmtId="43" fontId="0" fillId="0" borderId="0" xfId="1" applyFont="1" applyFill="1" applyBorder="1"/>
    <xf numFmtId="43" fontId="0" fillId="0" borderId="0" xfId="0" applyNumberFormat="1"/>
    <xf numFmtId="0" fontId="35" fillId="0" borderId="3" xfId="0" applyFont="1" applyBorder="1"/>
    <xf numFmtId="165" fontId="35" fillId="0" borderId="0" xfId="1" applyNumberFormat="1" applyFont="1" applyFill="1"/>
    <xf numFmtId="37" fontId="35" fillId="0" borderId="0" xfId="1" applyNumberFormat="1" applyFont="1" applyFill="1" applyBorder="1" applyAlignment="1">
      <alignment horizontal="center"/>
    </xf>
    <xf numFmtId="37" fontId="35" fillId="0" borderId="0" xfId="1" applyNumberFormat="1" applyFont="1" applyFill="1" applyBorder="1" applyAlignment="1">
      <alignment horizontal="right" indent="2"/>
    </xf>
    <xf numFmtId="165" fontId="35" fillId="0" borderId="0" xfId="1" applyNumberFormat="1" applyFont="1" applyFill="1" applyBorder="1"/>
    <xf numFmtId="37" fontId="35" fillId="0" borderId="0" xfId="1" applyNumberFormat="1" applyFont="1" applyFill="1" applyBorder="1" applyAlignment="1">
      <alignment horizontal="right" indent="1"/>
    </xf>
    <xf numFmtId="37" fontId="35" fillId="0" borderId="1" xfId="1" applyNumberFormat="1" applyFont="1" applyFill="1" applyBorder="1" applyAlignment="1">
      <alignment horizontal="center"/>
    </xf>
    <xf numFmtId="37" fontId="35" fillId="0" borderId="1" xfId="1" applyNumberFormat="1" applyFont="1" applyFill="1" applyBorder="1" applyAlignment="1">
      <alignment horizontal="right" indent="2"/>
    </xf>
    <xf numFmtId="165" fontId="35" fillId="0" borderId="1" xfId="1" applyNumberFormat="1" applyFont="1" applyFill="1" applyBorder="1"/>
    <xf numFmtId="37" fontId="35" fillId="0" borderId="1" xfId="1" applyNumberFormat="1" applyFont="1" applyFill="1" applyBorder="1" applyAlignment="1">
      <alignment horizontal="right" indent="1"/>
    </xf>
    <xf numFmtId="9" fontId="35" fillId="0" borderId="0" xfId="12" applyFont="1" applyFill="1"/>
    <xf numFmtId="1" fontId="35" fillId="0" borderId="0" xfId="0" applyNumberFormat="1" applyFont="1" applyAlignment="1">
      <alignment horizontal="center"/>
    </xf>
    <xf numFmtId="1" fontId="35" fillId="0" borderId="1" xfId="0" applyNumberFormat="1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14" fontId="35" fillId="0" borderId="0" xfId="0" applyNumberFormat="1" applyFont="1" applyAlignment="1">
      <alignment horizontal="right" inden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3" fontId="0" fillId="0" borderId="0" xfId="0" applyNumberFormat="1"/>
    <xf numFmtId="169" fontId="35" fillId="0" borderId="0" xfId="1" applyNumberFormat="1" applyFont="1" applyFill="1" applyAlignment="1">
      <alignment horizontal="center"/>
    </xf>
    <xf numFmtId="0" fontId="37" fillId="0" borderId="3" xfId="0" applyFont="1" applyBorder="1"/>
    <xf numFmtId="164" fontId="35" fillId="0" borderId="3" xfId="0" applyNumberFormat="1" applyFont="1" applyBorder="1"/>
    <xf numFmtId="43" fontId="35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6" fillId="0" borderId="0" xfId="8" applyFont="1"/>
    <xf numFmtId="0" fontId="26" fillId="0" borderId="0" xfId="0" applyFont="1"/>
    <xf numFmtId="4" fontId="44" fillId="0" borderId="0" xfId="0" applyNumberFormat="1" applyFont="1"/>
    <xf numFmtId="0" fontId="26" fillId="0" borderId="0" xfId="0" applyFont="1" applyAlignment="1">
      <alignment horizontal="right"/>
    </xf>
    <xf numFmtId="2" fontId="26" fillId="0" borderId="0" xfId="0" applyNumberFormat="1" applyFont="1" applyAlignment="1">
      <alignment horizontal="right"/>
    </xf>
    <xf numFmtId="172" fontId="30" fillId="0" borderId="0" xfId="12" applyNumberFormat="1" applyFont="1" applyFill="1"/>
    <xf numFmtId="4" fontId="0" fillId="0" borderId="0" xfId="0" applyNumberFormat="1"/>
    <xf numFmtId="169" fontId="35" fillId="0" borderId="0" xfId="1" applyNumberFormat="1" applyFont="1" applyBorder="1" applyAlignment="1">
      <alignment horizontal="right" indent="1"/>
    </xf>
    <xf numFmtId="0" fontId="26" fillId="0" borderId="0" xfId="20"/>
    <xf numFmtId="37" fontId="0" fillId="0" borderId="0" xfId="0" applyNumberFormat="1"/>
    <xf numFmtId="173" fontId="44" fillId="0" borderId="0" xfId="0" applyNumberFormat="1" applyFont="1"/>
    <xf numFmtId="174" fontId="35" fillId="0" borderId="0" xfId="1" applyNumberFormat="1" applyFont="1" applyFill="1" applyBorder="1" applyAlignment="1">
      <alignment horizontal="right" indent="2"/>
    </xf>
    <xf numFmtId="0" fontId="45" fillId="0" borderId="0" xfId="44" applyFont="1" applyAlignment="1">
      <alignment horizontal="center"/>
    </xf>
    <xf numFmtId="164" fontId="35" fillId="2" borderId="0" xfId="1" applyNumberFormat="1" applyFont="1" applyFill="1" applyBorder="1" applyAlignment="1">
      <alignment horizontal="center"/>
    </xf>
    <xf numFmtId="0" fontId="46" fillId="0" borderId="1" xfId="46" applyFont="1" applyBorder="1" applyAlignment="1">
      <alignment horizontal="center" wrapText="1"/>
    </xf>
    <xf numFmtId="0" fontId="45" fillId="0" borderId="0" xfId="46" applyFont="1" applyAlignment="1">
      <alignment horizontal="center"/>
    </xf>
    <xf numFmtId="2" fontId="35" fillId="0" borderId="1" xfId="0" applyNumberFormat="1" applyFont="1" applyBorder="1" applyAlignment="1">
      <alignment horizontal="center"/>
    </xf>
    <xf numFmtId="2" fontId="43" fillId="0" borderId="0" xfId="0" applyNumberFormat="1" applyFont="1" applyAlignment="1">
      <alignment horizontal="center"/>
    </xf>
    <xf numFmtId="2" fontId="43" fillId="0" borderId="1" xfId="0" applyNumberFormat="1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45" fillId="0" borderId="0" xfId="46" applyFont="1" applyAlignment="1">
      <alignment horizontal="center" wrapText="1"/>
    </xf>
    <xf numFmtId="37" fontId="47" fillId="0" borderId="0" xfId="1" applyNumberFormat="1" applyFont="1" applyFill="1" applyAlignment="1">
      <alignment horizontal="right"/>
    </xf>
    <xf numFmtId="0" fontId="33" fillId="0" borderId="1" xfId="20" applyFont="1" applyBorder="1" applyAlignment="1">
      <alignment horizontal="centerContinuous"/>
    </xf>
    <xf numFmtId="0" fontId="48" fillId="0" borderId="0" xfId="0" applyFont="1"/>
    <xf numFmtId="174" fontId="47" fillId="0" borderId="0" xfId="1" applyNumberFormat="1" applyFont="1" applyFill="1" applyAlignment="1">
      <alignment horizontal="right"/>
    </xf>
    <xf numFmtId="2" fontId="43" fillId="0" borderId="0" xfId="0" applyNumberFormat="1" applyFont="1" applyAlignment="1">
      <alignment horizontal="right" indent="2"/>
    </xf>
    <xf numFmtId="0" fontId="0" fillId="0" borderId="0" xfId="20" applyFont="1"/>
    <xf numFmtId="0" fontId="0" fillId="0" borderId="1" xfId="20" applyFont="1" applyBorder="1" applyAlignment="1">
      <alignment horizontal="centerContinuous"/>
    </xf>
    <xf numFmtId="175" fontId="0" fillId="0" borderId="0" xfId="0" applyNumberFormat="1"/>
    <xf numFmtId="0" fontId="26" fillId="0" borderId="1" xfId="0" applyFont="1" applyBorder="1" applyAlignment="1">
      <alignment wrapText="1"/>
    </xf>
    <xf numFmtId="1" fontId="0" fillId="0" borderId="0" xfId="0" applyNumberFormat="1"/>
    <xf numFmtId="1" fontId="0" fillId="0" borderId="0" xfId="20" applyNumberFormat="1" applyFont="1"/>
    <xf numFmtId="172" fontId="0" fillId="0" borderId="0" xfId="12" applyNumberFormat="1" applyFont="1"/>
    <xf numFmtId="39" fontId="47" fillId="0" borderId="0" xfId="1" applyNumberFormat="1" applyFont="1" applyFill="1" applyAlignment="1">
      <alignment horizontal="right"/>
    </xf>
    <xf numFmtId="39" fontId="47" fillId="0" borderId="0" xfId="1" applyNumberFormat="1" applyFont="1" applyFill="1"/>
    <xf numFmtId="39" fontId="26" fillId="0" borderId="0" xfId="20" applyNumberFormat="1"/>
    <xf numFmtId="0" fontId="0" fillId="0" borderId="0" xfId="0" quotePrefix="1"/>
    <xf numFmtId="0" fontId="33" fillId="0" borderId="0" xfId="20" applyFont="1" applyAlignment="1">
      <alignment wrapText="1"/>
    </xf>
    <xf numFmtId="14" fontId="0" fillId="0" borderId="0" xfId="20" applyNumberFormat="1" applyFont="1"/>
    <xf numFmtId="3" fontId="0" fillId="0" borderId="0" xfId="20" applyNumberFormat="1" applyFont="1" applyAlignment="1">
      <alignment horizontal="left"/>
    </xf>
    <xf numFmtId="165" fontId="0" fillId="0" borderId="0" xfId="20" applyNumberFormat="1" applyFont="1"/>
    <xf numFmtId="14" fontId="0" fillId="0" borderId="0" xfId="20" applyNumberFormat="1" applyFont="1" applyAlignment="1">
      <alignment horizontal="right"/>
    </xf>
    <xf numFmtId="169" fontId="43" fillId="0" borderId="0" xfId="1" applyNumberFormat="1" applyFont="1" applyFill="1" applyBorder="1" applyAlignment="1">
      <alignment horizontal="right"/>
    </xf>
    <xf numFmtId="0" fontId="33" fillId="0" borderId="0" xfId="20" applyFont="1"/>
    <xf numFmtId="39" fontId="47" fillId="0" borderId="0" xfId="1" applyNumberFormat="1" applyFont="1" applyFill="1" applyBorder="1" applyAlignment="1">
      <alignment horizontal="right"/>
    </xf>
    <xf numFmtId="176" fontId="26" fillId="0" borderId="0" xfId="20" applyNumberFormat="1"/>
    <xf numFmtId="170" fontId="0" fillId="0" borderId="0" xfId="0" applyNumberFormat="1"/>
    <xf numFmtId="177" fontId="44" fillId="0" borderId="0" xfId="0" applyNumberFormat="1" applyFont="1"/>
    <xf numFmtId="37" fontId="47" fillId="0" borderId="0" xfId="1" applyNumberFormat="1" applyFont="1" applyFill="1"/>
    <xf numFmtId="37" fontId="26" fillId="0" borderId="0" xfId="20" applyNumberFormat="1"/>
    <xf numFmtId="177" fontId="0" fillId="0" borderId="0" xfId="0" applyNumberFormat="1"/>
    <xf numFmtId="0" fontId="33" fillId="0" borderId="1" xfId="20" applyFont="1" applyBorder="1" applyAlignment="1">
      <alignment wrapText="1"/>
    </xf>
    <xf numFmtId="3" fontId="0" fillId="0" borderId="0" xfId="20" applyNumberFormat="1" applyFont="1"/>
    <xf numFmtId="0" fontId="45" fillId="0" borderId="0" xfId="0" applyFont="1"/>
    <xf numFmtId="0" fontId="46" fillId="0" borderId="1" xfId="51" applyFont="1" applyBorder="1" applyAlignment="1">
      <alignment horizontal="center" wrapText="1"/>
    </xf>
    <xf numFmtId="0" fontId="35" fillId="0" borderId="2" xfId="0" applyFont="1" applyBorder="1" applyAlignment="1">
      <alignment horizontal="center"/>
    </xf>
    <xf numFmtId="0" fontId="36" fillId="0" borderId="3" xfId="0" applyFont="1" applyBorder="1" applyAlignment="1">
      <alignment horizontal="center"/>
    </xf>
    <xf numFmtId="0" fontId="36" fillId="0" borderId="2" xfId="0" quotePrefix="1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5" xfId="0" quotePrefix="1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5" xfId="0" applyFont="1" applyBorder="1" applyAlignment="1">
      <alignment horizontal="center"/>
    </xf>
  </cellXfs>
  <cellStyles count="52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10" xfId="48" xr:uid="{B0B7CAAA-7091-450F-85C9-52BED8D28969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2 2" xfId="49" xr:uid="{3BCF6672-671D-4690-A776-FA31F543923C}"/>
    <cellStyle name="Normal 11 6 3" xfId="44" xr:uid="{8D99E9BD-AF94-4306-8B61-749EAEFE8FD0}"/>
    <cellStyle name="Normal 11 6 3 2" xfId="47" xr:uid="{E9C554E9-6250-424B-9089-AB0F2F62FF9F}"/>
    <cellStyle name="Normal 11 6 3 2 2" xfId="50" xr:uid="{EE3659D5-A709-4860-9D3D-5E6D362E2A99}"/>
    <cellStyle name="Normal 11 6 3 2 3" xfId="51" xr:uid="{025CF3BB-6F64-4E4B-ADF3-415CE346BA0F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984807"/>
      <color rgb="FF95B3D7"/>
      <color rgb="FF00B050"/>
      <color rgb="FFC0504D"/>
      <color rgb="FFFFFF00"/>
      <color rgb="FFC0502F"/>
      <color rgb="FFD99694"/>
      <color rgb="FFFFCF01"/>
      <color rgb="FF0000FF"/>
      <color rgb="FFFA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soybean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607299087614"/>
          <c:y val="0.17628667233929823"/>
          <c:w val="0.83489876265466811"/>
          <c:h val="0.51544326743329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1'!$D$1</c:f>
              <c:strCache>
                <c:ptCount val="1"/>
                <c:pt idx="0">
                  <c:v>Argentina                     </c:v>
                </c:pt>
              </c:strCache>
            </c:strRef>
          </c:tx>
          <c:spPr>
            <a:solidFill>
              <a:srgbClr val="984807"/>
            </a:solidFill>
            <a:ln w="38100"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1'!$D$2:$D$14</c:f>
              <c:numCache>
                <c:formatCode>#,##0_);\(#,##0\)</c:formatCode>
                <c:ptCount val="13"/>
                <c:pt idx="0">
                  <c:v>40.1</c:v>
                </c:pt>
                <c:pt idx="1">
                  <c:v>49.3</c:v>
                </c:pt>
                <c:pt idx="2">
                  <c:v>53.4</c:v>
                </c:pt>
                <c:pt idx="3">
                  <c:v>61.45</c:v>
                </c:pt>
                <c:pt idx="4">
                  <c:v>58.8</c:v>
                </c:pt>
                <c:pt idx="5">
                  <c:v>55</c:v>
                </c:pt>
                <c:pt idx="6">
                  <c:v>37.799999999999997</c:v>
                </c:pt>
                <c:pt idx="7">
                  <c:v>55.3</c:v>
                </c:pt>
                <c:pt idx="8">
                  <c:v>48.8</c:v>
                </c:pt>
                <c:pt idx="9">
                  <c:v>46.2</c:v>
                </c:pt>
                <c:pt idx="10">
                  <c:v>43.9</c:v>
                </c:pt>
                <c:pt idx="11">
                  <c:v>27</c:v>
                </c:pt>
                <c:pt idx="1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4-4A7C-A1EF-85C83F859EA4}"/>
            </c:ext>
          </c:extLst>
        </c:ser>
        <c:ser>
          <c:idx val="2"/>
          <c:order val="1"/>
          <c:tx>
            <c:strRef>
              <c:f>'Figure 1'!$B$1</c:f>
              <c:strCache>
                <c:ptCount val="1"/>
                <c:pt idx="0">
                  <c:v>Brazil                        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1'!$B$2:$B$14</c:f>
              <c:numCache>
                <c:formatCode>#,##0_);\(#,##0\)</c:formatCode>
                <c:ptCount val="13"/>
                <c:pt idx="0">
                  <c:v>66.5</c:v>
                </c:pt>
                <c:pt idx="1">
                  <c:v>82</c:v>
                </c:pt>
                <c:pt idx="2">
                  <c:v>86.2</c:v>
                </c:pt>
                <c:pt idx="3">
                  <c:v>97.1</c:v>
                </c:pt>
                <c:pt idx="4">
                  <c:v>95.7</c:v>
                </c:pt>
                <c:pt idx="5">
                  <c:v>114.9</c:v>
                </c:pt>
                <c:pt idx="6">
                  <c:v>123.4</c:v>
                </c:pt>
                <c:pt idx="7">
                  <c:v>120.5</c:v>
                </c:pt>
                <c:pt idx="8">
                  <c:v>128.5</c:v>
                </c:pt>
                <c:pt idx="9">
                  <c:v>139.5</c:v>
                </c:pt>
                <c:pt idx="10">
                  <c:v>130.5</c:v>
                </c:pt>
                <c:pt idx="11">
                  <c:v>155</c:v>
                </c:pt>
                <c:pt idx="12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4-4A7C-A1EF-85C83F859EA4}"/>
            </c:ext>
          </c:extLst>
        </c:ser>
        <c:ser>
          <c:idx val="5"/>
          <c:order val="2"/>
          <c:tx>
            <c:strRef>
              <c:f>'Figure 1'!$C$1</c:f>
              <c:strCache>
                <c:ptCount val="1"/>
                <c:pt idx="0">
                  <c:v>United States                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1'!$C$2:$C$14</c:f>
              <c:numCache>
                <c:formatCode>#,##0_);\(#,##0\)</c:formatCode>
                <c:ptCount val="13"/>
                <c:pt idx="0">
                  <c:v>84.290999999999997</c:v>
                </c:pt>
                <c:pt idx="1">
                  <c:v>82.790999999999997</c:v>
                </c:pt>
                <c:pt idx="2">
                  <c:v>91.363</c:v>
                </c:pt>
                <c:pt idx="3">
                  <c:v>106.905</c:v>
                </c:pt>
                <c:pt idx="4">
                  <c:v>106.869</c:v>
                </c:pt>
                <c:pt idx="5">
                  <c:v>116.931</c:v>
                </c:pt>
                <c:pt idx="6">
                  <c:v>120.065</c:v>
                </c:pt>
                <c:pt idx="7">
                  <c:v>120.515</c:v>
                </c:pt>
                <c:pt idx="8">
                  <c:v>96.667000000000002</c:v>
                </c:pt>
                <c:pt idx="9">
                  <c:v>114.749</c:v>
                </c:pt>
                <c:pt idx="10">
                  <c:v>121.52800000000001</c:v>
                </c:pt>
                <c:pt idx="11">
                  <c:v>116.377</c:v>
                </c:pt>
                <c:pt idx="12">
                  <c:v>122.742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44-4A7C-A1EF-85C83F859EA4}"/>
            </c:ext>
          </c:extLst>
        </c:ser>
        <c:ser>
          <c:idx val="3"/>
          <c:order val="3"/>
          <c:tx>
            <c:strRef>
              <c:f>'Figure 1'!$E$1</c:f>
              <c:strCache>
                <c:ptCount val="1"/>
                <c:pt idx="0">
                  <c:v>Rest of the world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1'!$E$2:$E$14</c:f>
              <c:numCache>
                <c:formatCode>#,##0_);\(#,##0\)</c:formatCode>
                <c:ptCount val="13"/>
                <c:pt idx="0">
                  <c:v>50.134</c:v>
                </c:pt>
                <c:pt idx="1">
                  <c:v>54.731999999999999</c:v>
                </c:pt>
                <c:pt idx="2">
                  <c:v>52.276000000000003</c:v>
                </c:pt>
                <c:pt idx="3">
                  <c:v>55.793000000000006</c:v>
                </c:pt>
                <c:pt idx="4">
                  <c:v>54.463999999999999</c:v>
                </c:pt>
                <c:pt idx="5">
                  <c:v>63.727000000000004</c:v>
                </c:pt>
                <c:pt idx="6">
                  <c:v>62.210999999999999</c:v>
                </c:pt>
                <c:pt idx="7">
                  <c:v>66.7</c:v>
                </c:pt>
                <c:pt idx="8">
                  <c:v>66.929000000000002</c:v>
                </c:pt>
                <c:pt idx="9">
                  <c:v>68.147000000000006</c:v>
                </c:pt>
                <c:pt idx="10">
                  <c:v>63.917999999999999</c:v>
                </c:pt>
                <c:pt idx="11">
                  <c:v>72.043999999999997</c:v>
                </c:pt>
                <c:pt idx="12">
                  <c:v>76.843000000000004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44-4A7C-A1EF-85C83F859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710036245469317"/>
              <c:y val="0.82509376399261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569902494072299"/>
          <c:y val="9.7453476391843111E-2"/>
          <c:w val="0.80040574638315143"/>
          <c:h val="7.559441632152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harvested acreage and yield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79994456138525E-2"/>
          <c:y val="0.15821728912575725"/>
          <c:w val="0.8749493689526433"/>
          <c:h val="0.52307395399104528"/>
        </c:manualLayout>
      </c:layout>
      <c:areaChart>
        <c:grouping val="stacked"/>
        <c:varyColors val="0"/>
        <c:ser>
          <c:idx val="2"/>
          <c:order val="2"/>
          <c:tx>
            <c:strRef>
              <c:f>'Figure 2'!$C$1</c:f>
              <c:strCache>
                <c:ptCount val="1"/>
                <c:pt idx="0">
                  <c:v>Demand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2'!$C$2:$C$11</c:f>
              <c:numCache>
                <c:formatCode>#,##0</c:formatCode>
                <c:ptCount val="10"/>
                <c:pt idx="0">
                  <c:v>3862.6756843585472</c:v>
                </c:pt>
                <c:pt idx="1">
                  <c:v>3944.2009162439076</c:v>
                </c:pt>
                <c:pt idx="2">
                  <c:v>4213.9107172106051</c:v>
                </c:pt>
                <c:pt idx="3">
                  <c:v>4296.9335006007277</c:v>
                </c:pt>
                <c:pt idx="4">
                  <c:v>3971.26028009634</c:v>
                </c:pt>
                <c:pt idx="5">
                  <c:v>3951.7995056159771</c:v>
                </c:pt>
                <c:pt idx="6">
                  <c:v>4503.6789864362345</c:v>
                </c:pt>
                <c:pt idx="7">
                  <c:v>4463.8770486205594</c:v>
                </c:pt>
                <c:pt idx="8">
                  <c:v>4355.2779795298602</c:v>
                </c:pt>
                <c:pt idx="9">
                  <c:v>4410.5610361019117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FE-4A92-9B76-3FB11C93F67E}"/>
            </c:ext>
          </c:extLst>
        </c:ser>
        <c:ser>
          <c:idx val="3"/>
          <c:order val="3"/>
          <c:tx>
            <c:strRef>
              <c:f>'Figure 2'!$D$1</c:f>
              <c:strCache>
                <c:ptCount val="1"/>
                <c:pt idx="0">
                  <c:v>Ending stocks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2'!$D$2:$D$11</c:f>
              <c:numCache>
                <c:formatCode>#,##0</c:formatCode>
                <c:ptCount val="10"/>
                <c:pt idx="0">
                  <c:v>190.61</c:v>
                </c:pt>
                <c:pt idx="1">
                  <c:v>196.72900000000001</c:v>
                </c:pt>
                <c:pt idx="2">
                  <c:v>301.59500000000003</c:v>
                </c:pt>
                <c:pt idx="3">
                  <c:v>438.10500000000002</c:v>
                </c:pt>
                <c:pt idx="4">
                  <c:v>909.05200000000002</c:v>
                </c:pt>
                <c:pt idx="5">
                  <c:v>524.54100000000005</c:v>
                </c:pt>
                <c:pt idx="6">
                  <c:v>256.97899999999998</c:v>
                </c:pt>
                <c:pt idx="7">
                  <c:v>274.39400000000001</c:v>
                </c:pt>
                <c:pt idx="8">
                  <c:v>215.23902047013962</c:v>
                </c:pt>
                <c:pt idx="9">
                  <c:v>334.67798436822795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FE-4A92-9B76-3FB11C93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lineChart>
        <c:grouping val="standar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2'!$B$2:$B$11</c:f>
              <c:numCache>
                <c:formatCode>#,##0</c:formatCode>
                <c:ptCount val="10"/>
                <c:pt idx="0">
                  <c:v>4053.2856843585473</c:v>
                </c:pt>
                <c:pt idx="1">
                  <c:v>4140.9299162439074</c:v>
                </c:pt>
                <c:pt idx="2">
                  <c:v>4515.5057172106053</c:v>
                </c:pt>
                <c:pt idx="3">
                  <c:v>4735.0385006007273</c:v>
                </c:pt>
                <c:pt idx="4">
                  <c:v>4880.3122800963401</c:v>
                </c:pt>
                <c:pt idx="5">
                  <c:v>4476.3405056159772</c:v>
                </c:pt>
                <c:pt idx="6">
                  <c:v>4760.6579864362348</c:v>
                </c:pt>
                <c:pt idx="7">
                  <c:v>4738.2710486205597</c:v>
                </c:pt>
                <c:pt idx="8">
                  <c:v>4570.5169999999998</c:v>
                </c:pt>
                <c:pt idx="9">
                  <c:v>4745.2390204701396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E-4A92-9B76-3FB11C93F67E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Demand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2'!$C$2:$C$11</c:f>
              <c:numCache>
                <c:formatCode>#,##0</c:formatCode>
                <c:ptCount val="10"/>
                <c:pt idx="0">
                  <c:v>3862.6756843585472</c:v>
                </c:pt>
                <c:pt idx="1">
                  <c:v>3944.2009162439076</c:v>
                </c:pt>
                <c:pt idx="2">
                  <c:v>4213.9107172106051</c:v>
                </c:pt>
                <c:pt idx="3">
                  <c:v>4296.9335006007277</c:v>
                </c:pt>
                <c:pt idx="4">
                  <c:v>3971.26028009634</c:v>
                </c:pt>
                <c:pt idx="5">
                  <c:v>3951.7995056159771</c:v>
                </c:pt>
                <c:pt idx="6">
                  <c:v>4503.6789864362345</c:v>
                </c:pt>
                <c:pt idx="7">
                  <c:v>4463.8770486205594</c:v>
                </c:pt>
                <c:pt idx="8">
                  <c:v>4355.2779795298602</c:v>
                </c:pt>
                <c:pt idx="9">
                  <c:v>4410.5610361019117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FE-4A92-9B76-3FB11C93F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2387498594"/>
              <c:y val="0.83174373423910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5000"/>
          <c:min val="38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effectLst/>
                  </a:rPr>
                  <a:t>Million bushels</a:t>
                </a: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50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296432698387949"/>
          <c:y val="0.10306179558437548"/>
          <c:w val="0.50050310542865306"/>
          <c:h val="6.5153298852349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oil supply and disappearance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065616797900251E-2"/>
          <c:y val="0.15476497724339905"/>
          <c:w val="0.92555442945869371"/>
          <c:h val="0.535329011253377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3'!$C$1</c:f>
              <c:strCache>
                <c:ptCount val="1"/>
                <c:pt idx="0">
                  <c:v>Biofuel</c:v>
                </c:pt>
              </c:strCache>
            </c:strRef>
          </c:tx>
          <c:spPr>
            <a:pattFill prst="pct7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3'!$C$2:$C$11</c:f>
              <c:numCache>
                <c:formatCode>#,##0.000</c:formatCode>
                <c:ptCount val="10"/>
                <c:pt idx="0">
                  <c:v>5.0387700000000004</c:v>
                </c:pt>
                <c:pt idx="1">
                  <c:v>5.67</c:v>
                </c:pt>
                <c:pt idx="2">
                  <c:v>6.2003000000000004</c:v>
                </c:pt>
                <c:pt idx="3">
                  <c:v>7.33371</c:v>
                </c:pt>
                <c:pt idx="4">
                  <c:v>8.6632999999999996</c:v>
                </c:pt>
                <c:pt idx="5">
                  <c:v>8.6578199999999992</c:v>
                </c:pt>
                <c:pt idx="6">
                  <c:v>8.92</c:v>
                </c:pt>
                <c:pt idx="7">
                  <c:v>10.348190000000001</c:v>
                </c:pt>
                <c:pt idx="8">
                  <c:v>11.6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51-4A1E-AD9D-5E7A6D30207E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Food, feed, and other industrial use</c:v>
                </c:pt>
              </c:strCache>
            </c:strRef>
          </c:tx>
          <c:spPr>
            <a:pattFill prst="lgConfetti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3'!$D$2:$D$11</c:f>
              <c:numCache>
                <c:formatCode>#,##0.000</c:formatCode>
                <c:ptCount val="10"/>
                <c:pt idx="0">
                  <c:v>13.920131077093275</c:v>
                </c:pt>
                <c:pt idx="1">
                  <c:v>14.492247412149666</c:v>
                </c:pt>
                <c:pt idx="2">
                  <c:v>13.662016352975796</c:v>
                </c:pt>
                <c:pt idx="3">
                  <c:v>14.04650060750757</c:v>
                </c:pt>
                <c:pt idx="4">
                  <c:v>14.210857005018134</c:v>
                </c:pt>
                <c:pt idx="5">
                  <c:v>13.659180563573729</c:v>
                </c:pt>
                <c:pt idx="6">
                  <c:v>14.394331644053418</c:v>
                </c:pt>
                <c:pt idx="7">
                  <c:v>14.476912760305853</c:v>
                </c:pt>
                <c:pt idx="8">
                  <c:v>14.525</c:v>
                </c:pt>
                <c:pt idx="9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51-4A1E-AD9D-5E7A6D30207E}"/>
            </c:ext>
          </c:extLst>
        </c:ser>
        <c:ser>
          <c:idx val="3"/>
          <c:order val="3"/>
          <c:tx>
            <c:strRef>
              <c:f>'Figure 3'!$E$1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3'!$E$2:$E$11</c:f>
              <c:numCache>
                <c:formatCode>#,##0.000</c:formatCode>
                <c:ptCount val="10"/>
                <c:pt idx="0">
                  <c:v>2.014373388233528</c:v>
                </c:pt>
                <c:pt idx="1">
                  <c:v>2.242541908601738</c:v>
                </c:pt>
                <c:pt idx="2">
                  <c:v>2.5556629160845037</c:v>
                </c:pt>
                <c:pt idx="3">
                  <c:v>2.4430375649191838</c:v>
                </c:pt>
                <c:pt idx="4">
                  <c:v>1.9404219679927719</c:v>
                </c:pt>
                <c:pt idx="5">
                  <c:v>2.8366949799463836</c:v>
                </c:pt>
                <c:pt idx="6">
                  <c:v>1.731359148174006</c:v>
                </c:pt>
                <c:pt idx="7">
                  <c:v>1.7734436302917098</c:v>
                </c:pt>
                <c:pt idx="8">
                  <c:v>0.45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51-4A1E-AD9D-5E7A6D30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1"/>
          <c:order val="0"/>
          <c:tx>
            <c:strRef>
              <c:f>'Figure 3'!$B$1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3'!$B$2:$B$11</c:f>
              <c:numCache>
                <c:formatCode>#,##0.000</c:formatCode>
                <c:ptCount val="10"/>
                <c:pt idx="0">
                  <c:v>22.828092465326804</c:v>
                </c:pt>
                <c:pt idx="1">
                  <c:v>24.091602320751409</c:v>
                </c:pt>
                <c:pt idx="2">
                  <c:v>24.128933269060301</c:v>
                </c:pt>
                <c:pt idx="3">
                  <c:v>25.818682172426755</c:v>
                </c:pt>
                <c:pt idx="4">
                  <c:v>26.589894973010903</c:v>
                </c:pt>
                <c:pt idx="5">
                  <c:v>27.006370543520113</c:v>
                </c:pt>
                <c:pt idx="6">
                  <c:v>27.176923792227427</c:v>
                </c:pt>
                <c:pt idx="7">
                  <c:v>28.589694390597565</c:v>
                </c:pt>
                <c:pt idx="8">
                  <c:v>28.511148000000002</c:v>
                </c:pt>
                <c:pt idx="9">
                  <c:v>29.431148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1-4A1E-AD9D-5E7A6D30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6324662387498594"/>
              <c:y val="0.82702630921134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Billion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2268995221751"/>
          <c:y val="8.6721711869349669E-2"/>
          <c:w val="0.76077302218410814"/>
          <c:h val="5.5380304024496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4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meal supply and disappearance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865396775898063E-2"/>
          <c:y val="0.15476497724339905"/>
          <c:w val="0.93435530954670265"/>
          <c:h val="0.57352334864391952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'Figure 4'!$D$1</c:f>
              <c:strCache>
                <c:ptCount val="1"/>
                <c:pt idx="0">
                  <c:v>Domestic disappearance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4'!$A$2:$A$11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4'!$D$2:$D$11</c:f>
              <c:numCache>
                <c:formatCode>#,##0.000</c:formatCode>
                <c:ptCount val="10"/>
                <c:pt idx="0">
                  <c:v>32.277515252823328</c:v>
                </c:pt>
                <c:pt idx="1">
                  <c:v>33.110294160647356</c:v>
                </c:pt>
                <c:pt idx="2">
                  <c:v>33.415579290918068</c:v>
                </c:pt>
                <c:pt idx="3">
                  <c:v>35.535109349509405</c:v>
                </c:pt>
                <c:pt idx="4">
                  <c:v>36.267676843266003</c:v>
                </c:pt>
                <c:pt idx="5">
                  <c:v>37.967281257744652</c:v>
                </c:pt>
                <c:pt idx="6">
                  <c:v>37.674373916642843</c:v>
                </c:pt>
                <c:pt idx="7">
                  <c:v>38.969602626211376</c:v>
                </c:pt>
                <c:pt idx="8">
                  <c:v>39.299999999999997</c:v>
                </c:pt>
                <c:pt idx="9">
                  <c:v>40.174999999999997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7-4E94-9E18-53EDD9A7D915}"/>
            </c:ext>
          </c:extLst>
        </c:ser>
        <c:ser>
          <c:idx val="0"/>
          <c:order val="2"/>
          <c:tx>
            <c:strRef>
              <c:f>'Figure 4'!$C$1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'Figure 4'!$A$2:$A$11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4'!$C$2:$C$11</c:f>
              <c:numCache>
                <c:formatCode>#,##0.000</c:formatCode>
                <c:ptCount val="10"/>
                <c:pt idx="0">
                  <c:v>13.107299501123148</c:v>
                </c:pt>
                <c:pt idx="1">
                  <c:v>11.952508472427619</c:v>
                </c:pt>
                <c:pt idx="2">
                  <c:v>11.579831238332519</c:v>
                </c:pt>
                <c:pt idx="3">
                  <c:v>14.018496375209455</c:v>
                </c:pt>
                <c:pt idx="4">
                  <c:v>13.382755633454524</c:v>
                </c:pt>
                <c:pt idx="5">
                  <c:v>13.833111753485145</c:v>
                </c:pt>
                <c:pt idx="6">
                  <c:v>13.675364391156284</c:v>
                </c:pt>
                <c:pt idx="7">
                  <c:v>13.523827120054571</c:v>
                </c:pt>
                <c:pt idx="8">
                  <c:v>13.8</c:v>
                </c:pt>
                <c:pt idx="9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Supply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4'!$A$2:$A$11</c:f>
              <c:strCache>
                <c:ptCount val="10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  <c:pt idx="6">
                  <c:v>2020/21</c:v>
                </c:pt>
                <c:pt idx="7">
                  <c:v>2021/22</c:v>
                </c:pt>
                <c:pt idx="8">
                  <c:v>2022/23*</c:v>
                </c:pt>
                <c:pt idx="9">
                  <c:v>2023/24*</c:v>
                </c:pt>
              </c:strCache>
            </c:strRef>
          </c:cat>
          <c:val>
            <c:numRef>
              <c:f>'Figure 4'!$B$2:$B$11</c:f>
              <c:numCache>
                <c:formatCode>#,##0.000</c:formatCode>
                <c:ptCount val="10"/>
                <c:pt idx="0">
                  <c:v>45.645278753946478</c:v>
                </c:pt>
                <c:pt idx="1">
                  <c:v>45.326688633074973</c:v>
                </c:pt>
                <c:pt idx="2">
                  <c:v>45.396040529250584</c:v>
                </c:pt>
                <c:pt idx="3">
                  <c:v>50.109029724718859</c:v>
                </c:pt>
                <c:pt idx="4">
                  <c:v>50.052447476720523</c:v>
                </c:pt>
                <c:pt idx="5">
                  <c:v>52.141729011229799</c:v>
                </c:pt>
                <c:pt idx="6">
                  <c:v>51.690524307799123</c:v>
                </c:pt>
                <c:pt idx="7">
                  <c:v>52.804356746265945</c:v>
                </c:pt>
                <c:pt idx="8">
                  <c:v>53.45</c:v>
                </c:pt>
                <c:pt idx="9">
                  <c:v>55.375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7-4E94-9E18-53EDD9A7D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6324662387498594"/>
              <c:y val="0.85530019685039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short tons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2268995221751"/>
          <c:y val="8.6721711869349669E-2"/>
          <c:w val="0.60265344235816676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5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soybean and canola oil prices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67952082912707E-2"/>
          <c:y val="0.15476497724339905"/>
          <c:w val="0.90135203412073495"/>
          <c:h val="0.5353290112533774"/>
        </c:manualLayout>
      </c:layout>
      <c:lineChart>
        <c:grouping val="standard"/>
        <c:varyColors val="0"/>
        <c:ser>
          <c:idx val="1"/>
          <c:order val="0"/>
          <c:tx>
            <c:strRef>
              <c:f>'Figure 5'!$B$1</c:f>
              <c:strCache>
                <c:ptCount val="1"/>
                <c:pt idx="0">
                  <c:v>Soybean oil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5'!$A$2:$A$44</c:f>
              <c:strCache>
                <c:ptCount val="43"/>
                <c:pt idx="0">
                  <c:v>Oct. 2019</c:v>
                </c:pt>
                <c:pt idx="1">
                  <c:v>Nov. 2019</c:v>
                </c:pt>
                <c:pt idx="2">
                  <c:v>Dec. 2019</c:v>
                </c:pt>
                <c:pt idx="3">
                  <c:v>Jan. 2020</c:v>
                </c:pt>
                <c:pt idx="4">
                  <c:v>Feb. 2020</c:v>
                </c:pt>
                <c:pt idx="5">
                  <c:v>Mar. 2020</c:v>
                </c:pt>
                <c:pt idx="6">
                  <c:v>Apr. 2020</c:v>
                </c:pt>
                <c:pt idx="7">
                  <c:v>May 2020</c:v>
                </c:pt>
                <c:pt idx="8">
                  <c:v>Jun. 2020</c:v>
                </c:pt>
                <c:pt idx="9">
                  <c:v>Jul. 2020</c:v>
                </c:pt>
                <c:pt idx="10">
                  <c:v>Aug. 2020</c:v>
                </c:pt>
                <c:pt idx="11">
                  <c:v>Sep. 2020</c:v>
                </c:pt>
                <c:pt idx="12">
                  <c:v>Oct. 2020</c:v>
                </c:pt>
                <c:pt idx="13">
                  <c:v>Nov. 2020</c:v>
                </c:pt>
                <c:pt idx="14">
                  <c:v>Dec. 2020</c:v>
                </c:pt>
                <c:pt idx="15">
                  <c:v>Jan. 2021</c:v>
                </c:pt>
                <c:pt idx="16">
                  <c:v>Feb. 2021</c:v>
                </c:pt>
                <c:pt idx="17">
                  <c:v>Mar. 2021</c:v>
                </c:pt>
                <c:pt idx="18">
                  <c:v>Apr. 2021</c:v>
                </c:pt>
                <c:pt idx="19">
                  <c:v>May 2021</c:v>
                </c:pt>
                <c:pt idx="20">
                  <c:v>Jun. 2021</c:v>
                </c:pt>
                <c:pt idx="21">
                  <c:v>Jul. 2021</c:v>
                </c:pt>
                <c:pt idx="22">
                  <c:v>Aug. 2021</c:v>
                </c:pt>
                <c:pt idx="23">
                  <c:v>Sep. 2021</c:v>
                </c:pt>
                <c:pt idx="24">
                  <c:v>Oct. 2021</c:v>
                </c:pt>
                <c:pt idx="25">
                  <c:v>Nov. 2021</c:v>
                </c:pt>
                <c:pt idx="26">
                  <c:v>Dec. 2021</c:v>
                </c:pt>
                <c:pt idx="27">
                  <c:v>Jan. 2022</c:v>
                </c:pt>
                <c:pt idx="28">
                  <c:v>Feb. 2022</c:v>
                </c:pt>
                <c:pt idx="29">
                  <c:v>Mar. 2022</c:v>
                </c:pt>
                <c:pt idx="30">
                  <c:v>Apr. 2022</c:v>
                </c:pt>
                <c:pt idx="31">
                  <c:v>May 2022</c:v>
                </c:pt>
                <c:pt idx="32">
                  <c:v>Jun. 2022</c:v>
                </c:pt>
                <c:pt idx="33">
                  <c:v>Jul. 2022</c:v>
                </c:pt>
                <c:pt idx="34">
                  <c:v>Aug. 2022</c:v>
                </c:pt>
                <c:pt idx="35">
                  <c:v>Sep. 2022</c:v>
                </c:pt>
                <c:pt idx="36">
                  <c:v>Oct. 2022</c:v>
                </c:pt>
                <c:pt idx="37">
                  <c:v>Nov. 2022</c:v>
                </c:pt>
                <c:pt idx="38">
                  <c:v>Dec. 2022</c:v>
                </c:pt>
                <c:pt idx="39">
                  <c:v>Jan. 2023</c:v>
                </c:pt>
                <c:pt idx="40">
                  <c:v>Feb. 2023</c:v>
                </c:pt>
                <c:pt idx="41">
                  <c:v>Mar. 2023</c:v>
                </c:pt>
                <c:pt idx="42">
                  <c:v>Apr. 2023</c:v>
                </c:pt>
              </c:strCache>
            </c:strRef>
          </c:cat>
          <c:val>
            <c:numRef>
              <c:f>'Figure 5'!$B$2:$B$44</c:f>
              <c:numCache>
                <c:formatCode>0.00</c:formatCode>
                <c:ptCount val="43"/>
                <c:pt idx="0">
                  <c:v>30.14</c:v>
                </c:pt>
                <c:pt idx="1">
                  <c:v>30.62</c:v>
                </c:pt>
                <c:pt idx="2">
                  <c:v>32.270000000000003</c:v>
                </c:pt>
                <c:pt idx="3">
                  <c:v>33.04</c:v>
                </c:pt>
                <c:pt idx="4">
                  <c:v>30.26</c:v>
                </c:pt>
                <c:pt idx="5">
                  <c:v>27.04</c:v>
                </c:pt>
                <c:pt idx="6">
                  <c:v>25.69</c:v>
                </c:pt>
                <c:pt idx="7">
                  <c:v>25.27</c:v>
                </c:pt>
                <c:pt idx="8">
                  <c:v>26.61</c:v>
                </c:pt>
                <c:pt idx="9">
                  <c:v>28.71</c:v>
                </c:pt>
                <c:pt idx="10">
                  <c:v>32.130000000000003</c:v>
                </c:pt>
                <c:pt idx="11">
                  <c:v>34.200000000000003</c:v>
                </c:pt>
                <c:pt idx="12">
                  <c:v>33.909999999999997</c:v>
                </c:pt>
                <c:pt idx="13">
                  <c:v>37.79</c:v>
                </c:pt>
                <c:pt idx="14">
                  <c:v>40.85</c:v>
                </c:pt>
                <c:pt idx="15">
                  <c:v>44.31</c:v>
                </c:pt>
                <c:pt idx="16">
                  <c:v>48.37</c:v>
                </c:pt>
                <c:pt idx="17">
                  <c:v>54</c:v>
                </c:pt>
                <c:pt idx="18">
                  <c:v>62.88</c:v>
                </c:pt>
                <c:pt idx="19">
                  <c:v>74.75</c:v>
                </c:pt>
                <c:pt idx="20">
                  <c:v>74.75</c:v>
                </c:pt>
                <c:pt idx="21">
                  <c:v>72.930000000000007</c:v>
                </c:pt>
                <c:pt idx="22">
                  <c:v>70.010000000000005</c:v>
                </c:pt>
                <c:pt idx="23">
                  <c:v>65.930000000000007</c:v>
                </c:pt>
                <c:pt idx="24">
                  <c:v>70.42</c:v>
                </c:pt>
                <c:pt idx="25">
                  <c:v>66.459999999999994</c:v>
                </c:pt>
                <c:pt idx="26">
                  <c:v>63.69</c:v>
                </c:pt>
                <c:pt idx="27">
                  <c:v>65.7</c:v>
                </c:pt>
                <c:pt idx="28">
                  <c:v>70.91</c:v>
                </c:pt>
                <c:pt idx="29">
                  <c:v>76.405000000000001</c:v>
                </c:pt>
                <c:pt idx="30">
                  <c:v>83.846000000000004</c:v>
                </c:pt>
                <c:pt idx="31">
                  <c:v>87.385000000000005</c:v>
                </c:pt>
                <c:pt idx="32">
                  <c:v>80.297499999999999</c:v>
                </c:pt>
                <c:pt idx="33">
                  <c:v>67.74799999999999</c:v>
                </c:pt>
                <c:pt idx="34">
                  <c:v>72.334999999999994</c:v>
                </c:pt>
                <c:pt idx="35">
                  <c:v>70.626000000000005</c:v>
                </c:pt>
                <c:pt idx="36">
                  <c:v>72.67</c:v>
                </c:pt>
                <c:pt idx="37">
                  <c:v>79.180000000000007</c:v>
                </c:pt>
                <c:pt idx="38">
                  <c:v>68.14</c:v>
                </c:pt>
                <c:pt idx="39">
                  <c:v>66</c:v>
                </c:pt>
                <c:pt idx="40">
                  <c:v>63.242500000000007</c:v>
                </c:pt>
                <c:pt idx="41">
                  <c:v>58.83</c:v>
                </c:pt>
                <c:pt idx="42">
                  <c:v>55.474999999999994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D8-4378-84AA-D3DA127B609C}"/>
            </c:ext>
          </c:extLst>
        </c:ser>
        <c:ser>
          <c:idx val="0"/>
          <c:order val="1"/>
          <c:tx>
            <c:strRef>
              <c:f>'Figure 5'!$C$1</c:f>
              <c:strCache>
                <c:ptCount val="1"/>
                <c:pt idx="0">
                  <c:v>Canola oil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'Figure 5'!$A$2:$A$44</c:f>
              <c:strCache>
                <c:ptCount val="43"/>
                <c:pt idx="0">
                  <c:v>Oct. 2019</c:v>
                </c:pt>
                <c:pt idx="1">
                  <c:v>Nov. 2019</c:v>
                </c:pt>
                <c:pt idx="2">
                  <c:v>Dec. 2019</c:v>
                </c:pt>
                <c:pt idx="3">
                  <c:v>Jan. 2020</c:v>
                </c:pt>
                <c:pt idx="4">
                  <c:v>Feb. 2020</c:v>
                </c:pt>
                <c:pt idx="5">
                  <c:v>Mar. 2020</c:v>
                </c:pt>
                <c:pt idx="6">
                  <c:v>Apr. 2020</c:v>
                </c:pt>
                <c:pt idx="7">
                  <c:v>May 2020</c:v>
                </c:pt>
                <c:pt idx="8">
                  <c:v>Jun. 2020</c:v>
                </c:pt>
                <c:pt idx="9">
                  <c:v>Jul. 2020</c:v>
                </c:pt>
                <c:pt idx="10">
                  <c:v>Aug. 2020</c:v>
                </c:pt>
                <c:pt idx="11">
                  <c:v>Sep. 2020</c:v>
                </c:pt>
                <c:pt idx="12">
                  <c:v>Oct. 2020</c:v>
                </c:pt>
                <c:pt idx="13">
                  <c:v>Nov. 2020</c:v>
                </c:pt>
                <c:pt idx="14">
                  <c:v>Dec. 2020</c:v>
                </c:pt>
                <c:pt idx="15">
                  <c:v>Jan. 2021</c:v>
                </c:pt>
                <c:pt idx="16">
                  <c:v>Feb. 2021</c:v>
                </c:pt>
                <c:pt idx="17">
                  <c:v>Mar. 2021</c:v>
                </c:pt>
                <c:pt idx="18">
                  <c:v>Apr. 2021</c:v>
                </c:pt>
                <c:pt idx="19">
                  <c:v>May 2021</c:v>
                </c:pt>
                <c:pt idx="20">
                  <c:v>Jun. 2021</c:v>
                </c:pt>
                <c:pt idx="21">
                  <c:v>Jul. 2021</c:v>
                </c:pt>
                <c:pt idx="22">
                  <c:v>Aug. 2021</c:v>
                </c:pt>
                <c:pt idx="23">
                  <c:v>Sep. 2021</c:v>
                </c:pt>
                <c:pt idx="24">
                  <c:v>Oct. 2021</c:v>
                </c:pt>
                <c:pt idx="25">
                  <c:v>Nov. 2021</c:v>
                </c:pt>
                <c:pt idx="26">
                  <c:v>Dec. 2021</c:v>
                </c:pt>
                <c:pt idx="27">
                  <c:v>Jan. 2022</c:v>
                </c:pt>
                <c:pt idx="28">
                  <c:v>Feb. 2022</c:v>
                </c:pt>
                <c:pt idx="29">
                  <c:v>Mar. 2022</c:v>
                </c:pt>
                <c:pt idx="30">
                  <c:v>Apr. 2022</c:v>
                </c:pt>
                <c:pt idx="31">
                  <c:v>May 2022</c:v>
                </c:pt>
                <c:pt idx="32">
                  <c:v>Jun. 2022</c:v>
                </c:pt>
                <c:pt idx="33">
                  <c:v>Jul. 2022</c:v>
                </c:pt>
                <c:pt idx="34">
                  <c:v>Aug. 2022</c:v>
                </c:pt>
                <c:pt idx="35">
                  <c:v>Sep. 2022</c:v>
                </c:pt>
                <c:pt idx="36">
                  <c:v>Oct. 2022</c:v>
                </c:pt>
                <c:pt idx="37">
                  <c:v>Nov. 2022</c:v>
                </c:pt>
                <c:pt idx="38">
                  <c:v>Dec. 2022</c:v>
                </c:pt>
                <c:pt idx="39">
                  <c:v>Jan. 2023</c:v>
                </c:pt>
                <c:pt idx="40">
                  <c:v>Feb. 2023</c:v>
                </c:pt>
                <c:pt idx="41">
                  <c:v>Mar. 2023</c:v>
                </c:pt>
                <c:pt idx="42">
                  <c:v>Apr. 2023</c:v>
                </c:pt>
              </c:strCache>
            </c:strRef>
          </c:cat>
          <c:val>
            <c:numRef>
              <c:f>'Figure 5'!$C$2:$C$44</c:f>
              <c:numCache>
                <c:formatCode>0.00</c:formatCode>
                <c:ptCount val="43"/>
                <c:pt idx="0">
                  <c:v>36.3125</c:v>
                </c:pt>
                <c:pt idx="1">
                  <c:v>36.15</c:v>
                </c:pt>
                <c:pt idx="2">
                  <c:v>38.0625</c:v>
                </c:pt>
                <c:pt idx="3">
                  <c:v>37.9</c:v>
                </c:pt>
                <c:pt idx="4">
                  <c:v>35.5</c:v>
                </c:pt>
                <c:pt idx="5">
                  <c:v>32.875</c:v>
                </c:pt>
                <c:pt idx="6">
                  <c:v>32.375</c:v>
                </c:pt>
                <c:pt idx="7">
                  <c:v>32.4</c:v>
                </c:pt>
                <c:pt idx="8">
                  <c:v>36.625</c:v>
                </c:pt>
                <c:pt idx="9">
                  <c:v>40.5</c:v>
                </c:pt>
                <c:pt idx="10">
                  <c:v>47.8125</c:v>
                </c:pt>
                <c:pt idx="11">
                  <c:v>47.9375</c:v>
                </c:pt>
                <c:pt idx="12">
                  <c:v>44.35</c:v>
                </c:pt>
                <c:pt idx="13">
                  <c:v>49.5</c:v>
                </c:pt>
                <c:pt idx="14">
                  <c:v>51.65</c:v>
                </c:pt>
                <c:pt idx="15">
                  <c:v>53.3125</c:v>
                </c:pt>
                <c:pt idx="16">
                  <c:v>58.9375</c:v>
                </c:pt>
                <c:pt idx="17">
                  <c:v>71.3125</c:v>
                </c:pt>
                <c:pt idx="18">
                  <c:v>79.55</c:v>
                </c:pt>
                <c:pt idx="19">
                  <c:v>94.0625</c:v>
                </c:pt>
                <c:pt idx="20">
                  <c:v>93.5</c:v>
                </c:pt>
                <c:pt idx="21">
                  <c:v>92.3</c:v>
                </c:pt>
                <c:pt idx="22">
                  <c:v>81</c:v>
                </c:pt>
                <c:pt idx="23">
                  <c:v>76</c:v>
                </c:pt>
                <c:pt idx="24">
                  <c:v>82.3</c:v>
                </c:pt>
                <c:pt idx="25">
                  <c:v>84.375</c:v>
                </c:pt>
                <c:pt idx="26">
                  <c:v>82.95</c:v>
                </c:pt>
                <c:pt idx="27">
                  <c:v>88.5625</c:v>
                </c:pt>
                <c:pt idx="28">
                  <c:v>85.875</c:v>
                </c:pt>
                <c:pt idx="29">
                  <c:v>92</c:v>
                </c:pt>
                <c:pt idx="30">
                  <c:v>103.15</c:v>
                </c:pt>
                <c:pt idx="31">
                  <c:v>108.6875</c:v>
                </c:pt>
                <c:pt idx="32">
                  <c:v>102.25</c:v>
                </c:pt>
                <c:pt idx="33">
                  <c:v>87.9</c:v>
                </c:pt>
                <c:pt idx="34">
                  <c:v>91.3125</c:v>
                </c:pt>
                <c:pt idx="35">
                  <c:v>76.849999999999994</c:v>
                </c:pt>
                <c:pt idx="36">
                  <c:v>80.125</c:v>
                </c:pt>
                <c:pt idx="37">
                  <c:v>84.375</c:v>
                </c:pt>
                <c:pt idx="38">
                  <c:v>74.05</c:v>
                </c:pt>
                <c:pt idx="39">
                  <c:v>71.1875</c:v>
                </c:pt>
                <c:pt idx="40">
                  <c:v>68.25</c:v>
                </c:pt>
                <c:pt idx="41">
                  <c:v>64.599999999999994</c:v>
                </c:pt>
                <c:pt idx="42">
                  <c:v>62.625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8-4378-84AA-D3DA127B6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Date</a:t>
                </a:r>
              </a:p>
            </c:rich>
          </c:tx>
          <c:layout>
            <c:manualLayout>
              <c:xMode val="edge"/>
              <c:yMode val="edge"/>
              <c:x val="0.46104640385298373"/>
              <c:y val="0.854998561823607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Cents per pound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103115823393365"/>
          <c:y val="8.6721824194554653E-2"/>
          <c:w val="0.48824198955328602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6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World oilseed prices 2002</a:t>
            </a:r>
            <a:r>
              <a:rPr lang="en-US" sz="1050" b="1" i="0" u="none" strike="noStrike" baseline="0">
                <a:effectLst/>
              </a:rPr>
              <a:t>–</a:t>
            </a:r>
            <a:r>
              <a:rPr lang="en-US" sz="1100" b="1" i="0" baseline="0">
                <a:effectLst/>
              </a:rPr>
              <a:t>present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165562058029664E-2"/>
          <c:y val="0.25130525238799578"/>
          <c:w val="0.86887862810033112"/>
          <c:h val="0.47576750230260045"/>
        </c:manualLayout>
      </c:layout>
      <c:lineChart>
        <c:grouping val="standard"/>
        <c:varyColors val="0"/>
        <c:ser>
          <c:idx val="1"/>
          <c:order val="0"/>
          <c:tx>
            <c:strRef>
              <c:f>'Figure 6'!$B$2</c:f>
              <c:strCache>
                <c:ptCount val="1"/>
                <c:pt idx="0">
                  <c:v>Soybeans, U.S. No. 2, CIF Rotterdam, NL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6'!$A$3:$A$23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 YTD</c:v>
                </c:pt>
              </c:strCache>
            </c:strRef>
          </c:cat>
          <c:val>
            <c:numRef>
              <c:f>'Figure 6'!$B$3:$B$23</c:f>
              <c:numCache>
                <c:formatCode>0</c:formatCode>
                <c:ptCount val="21"/>
                <c:pt idx="0">
                  <c:v>244.83333333333334</c:v>
                </c:pt>
                <c:pt idx="1">
                  <c:v>322.75</c:v>
                </c:pt>
                <c:pt idx="2">
                  <c:v>276.91666666666669</c:v>
                </c:pt>
                <c:pt idx="3">
                  <c:v>260.91666666666669</c:v>
                </c:pt>
                <c:pt idx="4">
                  <c:v>335.41666666666669</c:v>
                </c:pt>
                <c:pt idx="5">
                  <c:v>549.66666666666663</c:v>
                </c:pt>
                <c:pt idx="6">
                  <c:v>420.83333333333331</c:v>
                </c:pt>
                <c:pt idx="7">
                  <c:v>429.16666666666669</c:v>
                </c:pt>
                <c:pt idx="8">
                  <c:v>549.25</c:v>
                </c:pt>
                <c:pt idx="9">
                  <c:v>562.25</c:v>
                </c:pt>
                <c:pt idx="10">
                  <c:v>557.16666666666663</c:v>
                </c:pt>
                <c:pt idx="11">
                  <c:v>520.66666666666663</c:v>
                </c:pt>
                <c:pt idx="12">
                  <c:v>407.08333333333331</c:v>
                </c:pt>
                <c:pt idx="13">
                  <c:v>395.75</c:v>
                </c:pt>
                <c:pt idx="14">
                  <c:v>403.58333333333331</c:v>
                </c:pt>
                <c:pt idx="15">
                  <c:v>403.41666666666669</c:v>
                </c:pt>
                <c:pt idx="16">
                  <c:v>369.91666666666669</c:v>
                </c:pt>
                <c:pt idx="17">
                  <c:v>379.83333333333331</c:v>
                </c:pt>
                <c:pt idx="18">
                  <c:v>563.25</c:v>
                </c:pt>
                <c:pt idx="19">
                  <c:v>639.66666666666663</c:v>
                </c:pt>
                <c:pt idx="20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9-4CB4-9206-91B128A48085}"/>
            </c:ext>
          </c:extLst>
        </c:ser>
        <c:ser>
          <c:idx val="0"/>
          <c:order val="1"/>
          <c:tx>
            <c:strRef>
              <c:f>'Figure 6'!$C$2</c:f>
              <c:strCache>
                <c:ptCount val="1"/>
                <c:pt idx="0">
                  <c:v>Sunflowerseed, CIF Rotterdam, NL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'Figure 6'!$A$3:$A$23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 YTD</c:v>
                </c:pt>
              </c:strCache>
            </c:strRef>
          </c:cat>
          <c:val>
            <c:numRef>
              <c:f>'Figure 6'!$C$3:$C$23</c:f>
              <c:numCache>
                <c:formatCode>0</c:formatCode>
                <c:ptCount val="21"/>
                <c:pt idx="0">
                  <c:v>286.16666666666669</c:v>
                </c:pt>
                <c:pt idx="1">
                  <c:v>320.75</c:v>
                </c:pt>
                <c:pt idx="2">
                  <c:v>313</c:v>
                </c:pt>
                <c:pt idx="3">
                  <c:v>291.41666666666669</c:v>
                </c:pt>
                <c:pt idx="4">
                  <c:v>401.16666666666669</c:v>
                </c:pt>
                <c:pt idx="5">
                  <c:v>745.25</c:v>
                </c:pt>
                <c:pt idx="6">
                  <c:v>363.66666666666669</c:v>
                </c:pt>
                <c:pt idx="7">
                  <c:v>451.91666666666669</c:v>
                </c:pt>
                <c:pt idx="8">
                  <c:v>661.16666666666663</c:v>
                </c:pt>
                <c:pt idx="9">
                  <c:v>592.58333333333337</c:v>
                </c:pt>
                <c:pt idx="10">
                  <c:v>580.25</c:v>
                </c:pt>
                <c:pt idx="11">
                  <c:v>466.08333333333331</c:v>
                </c:pt>
                <c:pt idx="12">
                  <c:v>431.66666666666669</c:v>
                </c:pt>
                <c:pt idx="13">
                  <c:v>439.75</c:v>
                </c:pt>
                <c:pt idx="14">
                  <c:v>407.58333333333331</c:v>
                </c:pt>
                <c:pt idx="15">
                  <c:v>402.75</c:v>
                </c:pt>
                <c:pt idx="16">
                  <c:v>380.08333333333331</c:v>
                </c:pt>
                <c:pt idx="17">
                  <c:v>420</c:v>
                </c:pt>
                <c:pt idx="18">
                  <c:v>684.66666666666663</c:v>
                </c:pt>
                <c:pt idx="19">
                  <c:v>762.58333333333337</c:v>
                </c:pt>
                <c:pt idx="20">
                  <c:v>581.28571428571433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A9-4CB4-9206-91B128A48085}"/>
            </c:ext>
          </c:extLst>
        </c:ser>
        <c:ser>
          <c:idx val="2"/>
          <c:order val="2"/>
          <c:tx>
            <c:strRef>
              <c:f>'Figure 6'!$D$2</c:f>
              <c:strCache>
                <c:ptCount val="1"/>
                <c:pt idx="0">
                  <c:v>Rapeseed, CIF Hamburg, DE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6'!$A$3:$A$23</c:f>
              <c:strCach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 YTD</c:v>
                </c:pt>
              </c:strCache>
            </c:strRef>
          </c:cat>
          <c:val>
            <c:numRef>
              <c:f>'Figure 6'!$D$3:$D$23</c:f>
              <c:numCache>
                <c:formatCode>0</c:formatCode>
                <c:ptCount val="21"/>
                <c:pt idx="0">
                  <c:v>284.58333333333331</c:v>
                </c:pt>
                <c:pt idx="1">
                  <c:v>317.25</c:v>
                </c:pt>
                <c:pt idx="2">
                  <c:v>261.91666666666669</c:v>
                </c:pt>
                <c:pt idx="3">
                  <c:v>291.91666666666669</c:v>
                </c:pt>
                <c:pt idx="4">
                  <c:v>375.16666666666669</c:v>
                </c:pt>
                <c:pt idx="5">
                  <c:v>643.58333333333337</c:v>
                </c:pt>
                <c:pt idx="6">
                  <c:v>392.83333333333331</c:v>
                </c:pt>
                <c:pt idx="7">
                  <c:v>419.25</c:v>
                </c:pt>
                <c:pt idx="8">
                  <c:v>647.25</c:v>
                </c:pt>
                <c:pt idx="9">
                  <c:v>616.08333333333337</c:v>
                </c:pt>
                <c:pt idx="10">
                  <c:v>578.5</c:v>
                </c:pt>
                <c:pt idx="11">
                  <c:v>504.5</c:v>
                </c:pt>
                <c:pt idx="12">
                  <c:v>416.83333333333331</c:v>
                </c:pt>
                <c:pt idx="13">
                  <c:v>409.41666666666669</c:v>
                </c:pt>
                <c:pt idx="14">
                  <c:v>431.58333333333331</c:v>
                </c:pt>
                <c:pt idx="15">
                  <c:v>424.66666666666669</c:v>
                </c:pt>
                <c:pt idx="16">
                  <c:v>419.91666666666669</c:v>
                </c:pt>
                <c:pt idx="17">
                  <c:v>432.75</c:v>
                </c:pt>
                <c:pt idx="18">
                  <c:v>593.66666666666663</c:v>
                </c:pt>
                <c:pt idx="19">
                  <c:v>822.08333333333337</c:v>
                </c:pt>
                <c:pt idx="20">
                  <c:v>580.57142857142856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A9-4CB4-9206-91B128A48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6513370442745483"/>
              <c:y val="0.854514611258876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0"/>
      </c:catAx>
      <c:valAx>
        <c:axId val="667170632"/>
        <c:scaling>
          <c:orientation val="minMax"/>
          <c:max val="850"/>
          <c:min val="2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Dollars</a:t>
                </a:r>
                <a:r>
                  <a:rPr lang="en-US" sz="900" baseline="0"/>
                  <a:t> per</a:t>
                </a:r>
                <a:r>
                  <a:rPr lang="en-US" sz="900"/>
                  <a:t> metric ton</a:t>
                </a:r>
              </a:p>
            </c:rich>
          </c:tx>
          <c:layout>
            <c:manualLayout>
              <c:xMode val="edge"/>
              <c:yMode val="edge"/>
              <c:x val="8.667086880975965E-3"/>
              <c:y val="0.18945203187451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61922247012643E-2"/>
          <c:y val="9.8540073800816891E-2"/>
          <c:w val="0.97538077752987362"/>
          <c:h val="9.136686532553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7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vegetable oils ending stocks as of September 30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4.3992938382702157E-3"/>
          <c:y val="2.29265406572379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66607299087614"/>
          <c:y val="0.17628667233929823"/>
          <c:w val="0.83489876265466811"/>
          <c:h val="0.486666292330573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7'!$B$1</c:f>
              <c:strCache>
                <c:ptCount val="1"/>
                <c:pt idx="0">
                  <c:v>Palm oil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38100"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7'!$B$2:$B$14</c:f>
              <c:numCache>
                <c:formatCode>#,##0.00_);\(#,##0.00\)</c:formatCode>
                <c:ptCount val="13"/>
                <c:pt idx="0">
                  <c:v>9.4749999999999996</c:v>
                </c:pt>
                <c:pt idx="1">
                  <c:v>9.4670000000000005</c:v>
                </c:pt>
                <c:pt idx="2">
                  <c:v>9.6120000000000001</c:v>
                </c:pt>
                <c:pt idx="3">
                  <c:v>10.843999999999999</c:v>
                </c:pt>
                <c:pt idx="4">
                  <c:v>8.7899999999999991</c:v>
                </c:pt>
                <c:pt idx="5">
                  <c:v>10.218</c:v>
                </c:pt>
                <c:pt idx="6">
                  <c:v>12.929</c:v>
                </c:pt>
                <c:pt idx="7">
                  <c:v>14.951000000000001</c:v>
                </c:pt>
                <c:pt idx="8">
                  <c:v>15.755000000000001</c:v>
                </c:pt>
                <c:pt idx="9">
                  <c:v>15.189</c:v>
                </c:pt>
                <c:pt idx="10">
                  <c:v>16.32</c:v>
                </c:pt>
                <c:pt idx="11">
                  <c:v>16.916</c:v>
                </c:pt>
                <c:pt idx="12">
                  <c:v>16.521999999999998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8-4256-B840-669256A06C0C}"/>
            </c:ext>
          </c:extLst>
        </c:ser>
        <c:ser>
          <c:idx val="4"/>
          <c:order val="1"/>
          <c:tx>
            <c:strRef>
              <c:f>'Figure 7'!$C$1</c:f>
              <c:strCache>
                <c:ptCount val="1"/>
                <c:pt idx="0">
                  <c:v>Rapeseed oil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7'!$C$2:$C$14</c:f>
              <c:numCache>
                <c:formatCode>#,##0.00_);\(#,##0.00\)</c:formatCode>
                <c:ptCount val="13"/>
                <c:pt idx="0">
                  <c:v>3.3290000000000002</c:v>
                </c:pt>
                <c:pt idx="1">
                  <c:v>4.9470000000000001</c:v>
                </c:pt>
                <c:pt idx="2">
                  <c:v>6.274</c:v>
                </c:pt>
                <c:pt idx="3">
                  <c:v>6.6790000000000003</c:v>
                </c:pt>
                <c:pt idx="4">
                  <c:v>5.6989999999999998</c:v>
                </c:pt>
                <c:pt idx="5">
                  <c:v>4.2430000000000003</c:v>
                </c:pt>
                <c:pt idx="6">
                  <c:v>3.39</c:v>
                </c:pt>
                <c:pt idx="7">
                  <c:v>2.9830000000000001</c:v>
                </c:pt>
                <c:pt idx="8">
                  <c:v>2.859</c:v>
                </c:pt>
                <c:pt idx="9">
                  <c:v>3.48</c:v>
                </c:pt>
                <c:pt idx="10">
                  <c:v>2.6749999999999998</c:v>
                </c:pt>
                <c:pt idx="11">
                  <c:v>3.0049999999999999</c:v>
                </c:pt>
                <c:pt idx="12">
                  <c:v>3.3330000000000002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8-4256-B840-669256A06C0C}"/>
            </c:ext>
          </c:extLst>
        </c:ser>
        <c:ser>
          <c:idx val="2"/>
          <c:order val="2"/>
          <c:tx>
            <c:strRef>
              <c:f>'Figure 7'!$D$1</c:f>
              <c:strCache>
                <c:ptCount val="1"/>
                <c:pt idx="0">
                  <c:v>Soybean oil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7'!$D$2:$D$14</c:f>
              <c:numCache>
                <c:formatCode>#,##0.00_);\(#,##0.00\)</c:formatCode>
                <c:ptCount val="13"/>
                <c:pt idx="0">
                  <c:v>4.2990000000000004</c:v>
                </c:pt>
                <c:pt idx="1">
                  <c:v>4.2679999999999998</c:v>
                </c:pt>
                <c:pt idx="2">
                  <c:v>3.9729999999999999</c:v>
                </c:pt>
                <c:pt idx="3">
                  <c:v>4.556</c:v>
                </c:pt>
                <c:pt idx="4">
                  <c:v>4.0220000000000002</c:v>
                </c:pt>
                <c:pt idx="5">
                  <c:v>4.2370000000000001</c:v>
                </c:pt>
                <c:pt idx="6">
                  <c:v>4.34</c:v>
                </c:pt>
                <c:pt idx="7">
                  <c:v>4.7560000000000002</c:v>
                </c:pt>
                <c:pt idx="8">
                  <c:v>5.37</c:v>
                </c:pt>
                <c:pt idx="9">
                  <c:v>5.3609999999999998</c:v>
                </c:pt>
                <c:pt idx="10">
                  <c:v>4.67</c:v>
                </c:pt>
                <c:pt idx="11">
                  <c:v>4.5579999999999998</c:v>
                </c:pt>
                <c:pt idx="12">
                  <c:v>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98-4256-B840-669256A06C0C}"/>
            </c:ext>
          </c:extLst>
        </c:ser>
        <c:ser>
          <c:idx val="1"/>
          <c:order val="3"/>
          <c:tx>
            <c:strRef>
              <c:f>'Figure 7'!$E$1</c:f>
              <c:strCache>
                <c:ptCount val="1"/>
                <c:pt idx="0">
                  <c:v>Sunflowerseed oil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7'!$E$2:$E$14</c:f>
              <c:numCache>
                <c:formatCode>#,##0.00_);\(#,##0.00\)</c:formatCode>
                <c:ptCount val="13"/>
                <c:pt idx="0">
                  <c:v>3.0459999999999998</c:v>
                </c:pt>
                <c:pt idx="1">
                  <c:v>2.2599999999999998</c:v>
                </c:pt>
                <c:pt idx="2">
                  <c:v>2.9350000000000001</c:v>
                </c:pt>
                <c:pt idx="3">
                  <c:v>2.5430000000000001</c:v>
                </c:pt>
                <c:pt idx="4">
                  <c:v>2.0459999999999998</c:v>
                </c:pt>
                <c:pt idx="5">
                  <c:v>2.6030000000000002</c:v>
                </c:pt>
                <c:pt idx="6">
                  <c:v>2.6059999999999999</c:v>
                </c:pt>
                <c:pt idx="7">
                  <c:v>2.3420000000000001</c:v>
                </c:pt>
                <c:pt idx="8">
                  <c:v>2.786</c:v>
                </c:pt>
                <c:pt idx="9">
                  <c:v>1.84</c:v>
                </c:pt>
                <c:pt idx="10">
                  <c:v>2.581</c:v>
                </c:pt>
                <c:pt idx="11">
                  <c:v>3.0739999999999998</c:v>
                </c:pt>
                <c:pt idx="12">
                  <c:v>2.8540000000000001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98-4256-B840-669256A06C0C}"/>
            </c:ext>
          </c:extLst>
        </c:ser>
        <c:ser>
          <c:idx val="5"/>
          <c:order val="4"/>
          <c:tx>
            <c:strRef>
              <c:f>'Figure 7'!$F$1</c:f>
              <c:strCache>
                <c:ptCount val="1"/>
                <c:pt idx="0">
                  <c:v>Other oils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7'!$A$2:$A$14</c:f>
              <c:strCache>
                <c:ptCount val="13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  <c:pt idx="10">
                  <c:v>2021/22</c:v>
                </c:pt>
                <c:pt idx="11">
                  <c:v>2022/23*</c:v>
                </c:pt>
                <c:pt idx="12">
                  <c:v>2023/24*</c:v>
                </c:pt>
              </c:strCache>
            </c:strRef>
          </c:cat>
          <c:val>
            <c:numRef>
              <c:f>'Figure 7'!$F$2:$F$14</c:f>
              <c:numCache>
                <c:formatCode>#,##0.00_);\(#,##0.00\)</c:formatCode>
                <c:ptCount val="13"/>
                <c:pt idx="0">
                  <c:v>3.0640000000000001</c:v>
                </c:pt>
                <c:pt idx="1">
                  <c:v>2.3319999999999999</c:v>
                </c:pt>
                <c:pt idx="2">
                  <c:v>2.649</c:v>
                </c:pt>
                <c:pt idx="3">
                  <c:v>2.1309999999999998</c:v>
                </c:pt>
                <c:pt idx="4">
                  <c:v>2.3860000000000001</c:v>
                </c:pt>
                <c:pt idx="5">
                  <c:v>2.222</c:v>
                </c:pt>
                <c:pt idx="6">
                  <c:v>3.306</c:v>
                </c:pt>
                <c:pt idx="7">
                  <c:v>3.2519999999999998</c:v>
                </c:pt>
                <c:pt idx="8">
                  <c:v>3.2480000000000002</c:v>
                </c:pt>
                <c:pt idx="9">
                  <c:v>2.8149999999999999</c:v>
                </c:pt>
                <c:pt idx="10">
                  <c:v>2.8530000000000002</c:v>
                </c:pt>
                <c:pt idx="11">
                  <c:v>2.4980000000000002</c:v>
                </c:pt>
                <c:pt idx="12">
                  <c:v>2.601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98-4256-B840-669256A06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7710031239837197"/>
              <c:y val="0.81230410946833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 sz="900"/>
              </a:p>
              <a:p>
                <a:pPr algn="l">
                  <a:defRPr/>
                </a:pPr>
                <a:r>
                  <a:rPr lang="en-US" sz="900" baseline="0"/>
                  <a:t>Million metric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8.4684726909136365E-3"/>
              <c:y val="6.85410119699163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524809398825146"/>
          <c:y val="0.12506502830643926"/>
          <c:w val="0.81248298861553658"/>
          <c:h val="4.798293489487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603884</xdr:colOff>
      <xdr:row>0</xdr:row>
      <xdr:rowOff>45720</xdr:rowOff>
    </xdr:from>
    <xdr:to>
      <xdr:col>17</xdr:col>
      <xdr:colOff>40004</xdr:colOff>
      <xdr:row>22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DF08E8-F157-4FCE-901B-7D6798361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0.89332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86125"/>
          <a:ext cx="5772150" cy="39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Agricultural Marketing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National Grain and Oilseed Processor Feedstuff Report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and Sosland Publishing,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Milling and Baking News.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607695</xdr:colOff>
      <xdr:row>2</xdr:row>
      <xdr:rowOff>45720</xdr:rowOff>
    </xdr:from>
    <xdr:to>
      <xdr:col>14</xdr:col>
      <xdr:colOff>356235</xdr:colOff>
      <xdr:row>24</xdr:row>
      <xdr:rowOff>99062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64D35D-8A2C-4558-BE6F-68B9C0B95C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0.90604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4128607"/>
          <a:ext cx="6730368" cy="428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CIF = Cost, Insurance, and Freight.  YTD = October 2022</a:t>
          </a:r>
          <a:r>
            <a:rPr lang="en-US" sz="1100">
              <a:effectLst/>
              <a:latin typeface="+mn-lt"/>
              <a:ea typeface="+mn-ea"/>
              <a:cs typeface="+mn-cs"/>
            </a:rPr>
            <a:t>–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March 2023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International Grains Council and Oil World.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497204</xdr:colOff>
      <xdr:row>0</xdr:row>
      <xdr:rowOff>0</xdr:rowOff>
    </xdr:from>
    <xdr:to>
      <xdr:col>16</xdr:col>
      <xdr:colOff>337184</xdr:colOff>
      <xdr:row>22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C8444C-EE42-4221-A7DD-A0000E8FA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0.85755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06140"/>
          <a:ext cx="6088380" cy="565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Other oils includes coconut oil, cottonseed oil, olive oil, palm kernel oil and peanut oil.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Asterisk (*) denotes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0.86835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015615"/>
          <a:ext cx="640080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Asterisk (*) denotes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 USDA,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85725</xdr:rowOff>
    </xdr:from>
    <xdr:to>
      <xdr:col>14</xdr:col>
      <xdr:colOff>447675</xdr:colOff>
      <xdr:row>18</xdr:row>
      <xdr:rowOff>118110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19C9A1-1B57-46CA-81FC-F5DD3B946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0.84252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2619375"/>
          <a:ext cx="5772150" cy="489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World Agricultural Outlook Board,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World Agricultural Supply and Demand Estimates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306703</xdr:colOff>
      <xdr:row>0</xdr:row>
      <xdr:rowOff>57150</xdr:rowOff>
    </xdr:from>
    <xdr:to>
      <xdr:col>15</xdr:col>
      <xdr:colOff>173353</xdr:colOff>
      <xdr:row>20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672704-3F00-48F9-AD3D-D2304BBB6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0.86558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4225"/>
          <a:ext cx="5772150" cy="51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World Agricultural Outlook Board,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World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Agricultural Supply and Demand Estimates.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259078</xdr:colOff>
      <xdr:row>0</xdr:row>
      <xdr:rowOff>38100</xdr:rowOff>
    </xdr:from>
    <xdr:to>
      <xdr:col>14</xdr:col>
      <xdr:colOff>125728</xdr:colOff>
      <xdr:row>21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816443-B20A-4F00-B816-48F6B5CC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0.86558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24225"/>
          <a:ext cx="5772150" cy="516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USDA,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World Agricultural Outlook Board,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World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Agricultural Supply and Demand Estimates.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316228</xdr:colOff>
      <xdr:row>0</xdr:row>
      <xdr:rowOff>133350</xdr:rowOff>
    </xdr:from>
    <xdr:to>
      <xdr:col>12</xdr:col>
      <xdr:colOff>392428</xdr:colOff>
      <xdr:row>21</xdr:row>
      <xdr:rowOff>70485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F6704E-4D7D-4C0F-8C68-554C755AD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05"/>
      <c r="C1" s="10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05"/>
    </row>
    <row r="5" spans="1:3">
      <c r="A5" s="10" t="s">
        <v>3</v>
      </c>
      <c r="B5" s="4"/>
      <c r="C5" s="105"/>
    </row>
    <row r="6" spans="1:3">
      <c r="A6" s="10" t="s">
        <v>4</v>
      </c>
      <c r="B6" s="4"/>
      <c r="C6" s="105"/>
    </row>
    <row r="7" spans="1:3">
      <c r="A7" s="10" t="s">
        <v>5</v>
      </c>
      <c r="B7" s="4"/>
      <c r="C7" s="105"/>
    </row>
    <row r="8" spans="1:3">
      <c r="A8" s="10" t="s">
        <v>6</v>
      </c>
      <c r="B8" s="4"/>
      <c r="C8" s="105"/>
    </row>
    <row r="9" spans="1:3">
      <c r="A9" s="10" t="s">
        <v>7</v>
      </c>
      <c r="B9" s="4"/>
      <c r="C9" s="105"/>
    </row>
    <row r="10" spans="1:3">
      <c r="A10" s="10" t="s">
        <v>8</v>
      </c>
      <c r="B10" s="4"/>
      <c r="C10" s="105"/>
    </row>
    <row r="11" spans="1:3">
      <c r="A11" s="10" t="s">
        <v>9</v>
      </c>
      <c r="B11" s="4"/>
      <c r="C11" s="105"/>
    </row>
    <row r="12" spans="1:3">
      <c r="A12" s="10" t="s">
        <v>10</v>
      </c>
      <c r="B12" s="4"/>
      <c r="C12" s="105"/>
    </row>
    <row r="13" spans="1:3">
      <c r="A13" s="11" t="s">
        <v>11</v>
      </c>
      <c r="B13" s="4"/>
      <c r="C13" s="105"/>
    </row>
    <row r="14" spans="1:3" ht="13.2">
      <c r="A14" s="105"/>
      <c r="B14" s="105"/>
      <c r="C14" s="105"/>
    </row>
    <row r="15" spans="1:3">
      <c r="A15" s="7" t="s">
        <v>12</v>
      </c>
      <c r="B15" s="105"/>
      <c r="C15" s="105"/>
    </row>
    <row r="16" spans="1:3">
      <c r="A16" s="9">
        <v>45062</v>
      </c>
      <c r="B16" s="105"/>
      <c r="C16" s="10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07E7E-57C5-41C0-A9B5-09145F9549E2}">
  <dimension ref="A1:D259"/>
  <sheetViews>
    <sheetView workbookViewId="0">
      <selection activeCell="H23" sqref="H23"/>
    </sheetView>
  </sheetViews>
  <sheetFormatPr defaultColWidth="8.88671875" defaultRowHeight="13.2"/>
  <cols>
    <col min="1" max="1" width="13.109375" style="132" customWidth="1"/>
    <col min="2" max="3" width="8.88671875" style="132"/>
    <col min="4" max="4" width="8" style="132" customWidth="1"/>
    <col min="5" max="16384" width="8.88671875" style="132"/>
  </cols>
  <sheetData>
    <row r="1" spans="1:4" ht="26.4">
      <c r="A1" s="143" t="s">
        <v>148</v>
      </c>
      <c r="B1" s="149" t="s">
        <v>15</v>
      </c>
      <c r="C1" s="149" t="s">
        <v>215</v>
      </c>
      <c r="D1" s="143" t="s">
        <v>191</v>
      </c>
    </row>
    <row r="2" spans="1:4">
      <c r="A2" s="142" t="s">
        <v>109</v>
      </c>
      <c r="B2" s="158">
        <v>4053.2856843585473</v>
      </c>
      <c r="C2" s="158">
        <v>3862.6756843585472</v>
      </c>
      <c r="D2" s="158">
        <v>190.61</v>
      </c>
    </row>
    <row r="3" spans="1:4">
      <c r="A3" s="142" t="s">
        <v>110</v>
      </c>
      <c r="B3" s="158">
        <v>4140.9299162439074</v>
      </c>
      <c r="C3" s="158">
        <v>3944.2009162439076</v>
      </c>
      <c r="D3" s="158">
        <v>196.72900000000001</v>
      </c>
    </row>
    <row r="4" spans="1:4">
      <c r="A4" s="142" t="s">
        <v>111</v>
      </c>
      <c r="B4" s="158">
        <v>4515.5057172106053</v>
      </c>
      <c r="C4" s="158">
        <v>4213.9107172106051</v>
      </c>
      <c r="D4" s="158">
        <v>301.59500000000003</v>
      </c>
    </row>
    <row r="5" spans="1:4">
      <c r="A5" s="142" t="s">
        <v>112</v>
      </c>
      <c r="B5" s="158">
        <v>4735.0385006007273</v>
      </c>
      <c r="C5" s="158">
        <v>4296.9335006007277</v>
      </c>
      <c r="D5" s="158">
        <v>438.10500000000002</v>
      </c>
    </row>
    <row r="6" spans="1:4">
      <c r="A6" s="142" t="s">
        <v>113</v>
      </c>
      <c r="B6" s="158">
        <v>4880.3122800963401</v>
      </c>
      <c r="C6" s="158">
        <v>3971.26028009634</v>
      </c>
      <c r="D6" s="158">
        <v>909.05200000000002</v>
      </c>
    </row>
    <row r="7" spans="1:4">
      <c r="A7" s="142" t="s">
        <v>114</v>
      </c>
      <c r="B7" s="158">
        <v>4476.3405056159772</v>
      </c>
      <c r="C7" s="158">
        <v>3951.7995056159771</v>
      </c>
      <c r="D7" s="158">
        <v>524.54100000000005</v>
      </c>
    </row>
    <row r="8" spans="1:4">
      <c r="A8" s="142" t="s">
        <v>34</v>
      </c>
      <c r="B8" s="158">
        <v>4760.6579864362348</v>
      </c>
      <c r="C8" s="158">
        <v>4503.6789864362345</v>
      </c>
      <c r="D8" s="158">
        <v>256.97899999999998</v>
      </c>
    </row>
    <row r="9" spans="1:4">
      <c r="A9" s="142" t="s">
        <v>37</v>
      </c>
      <c r="B9" s="158">
        <v>4738.2710486205597</v>
      </c>
      <c r="C9" s="158">
        <v>4463.8770486205594</v>
      </c>
      <c r="D9" s="158">
        <v>274.39400000000001</v>
      </c>
    </row>
    <row r="10" spans="1:4">
      <c r="A10" s="142" t="s">
        <v>196</v>
      </c>
      <c r="B10" s="158">
        <v>4570.5169999999998</v>
      </c>
      <c r="C10" s="158">
        <v>4355.2779795298602</v>
      </c>
      <c r="D10" s="158">
        <v>215.23902047013962</v>
      </c>
    </row>
    <row r="11" spans="1:4">
      <c r="A11" s="142" t="s">
        <v>150</v>
      </c>
      <c r="B11" s="158">
        <v>4745.2390204701396</v>
      </c>
      <c r="C11" s="158">
        <v>4410.5610361019117</v>
      </c>
      <c r="D11" s="158">
        <v>334.67798436822795</v>
      </c>
    </row>
    <row r="12" spans="1:4">
      <c r="A12" s="142"/>
    </row>
    <row r="13" spans="1:4">
      <c r="A13" s="142"/>
    </row>
    <row r="14" spans="1:4">
      <c r="A14" s="142"/>
    </row>
    <row r="15" spans="1:4">
      <c r="A15" s="142"/>
    </row>
    <row r="16" spans="1:4">
      <c r="A16" s="142"/>
    </row>
    <row r="17" spans="1:1">
      <c r="A17" s="142"/>
    </row>
    <row r="18" spans="1:1">
      <c r="A18" s="142"/>
    </row>
    <row r="19" spans="1:1">
      <c r="A19" s="142"/>
    </row>
    <row r="20" spans="1:1">
      <c r="A20" s="142"/>
    </row>
    <row r="21" spans="1:1">
      <c r="A21" s="144"/>
    </row>
    <row r="22" spans="1:1">
      <c r="A22" s="144"/>
    </row>
    <row r="23" spans="1:1">
      <c r="A23" s="144"/>
    </row>
    <row r="24" spans="1:1">
      <c r="A24" s="144"/>
    </row>
    <row r="25" spans="1:1">
      <c r="A25" s="144"/>
    </row>
    <row r="26" spans="1:1">
      <c r="A26" s="144"/>
    </row>
    <row r="27" spans="1:1">
      <c r="A27" s="144"/>
    </row>
    <row r="28" spans="1:1">
      <c r="A28" s="144"/>
    </row>
    <row r="29" spans="1:1">
      <c r="A29" s="144"/>
    </row>
    <row r="30" spans="1:1">
      <c r="A30" s="144"/>
    </row>
    <row r="31" spans="1:1">
      <c r="A31" s="144"/>
    </row>
    <row r="32" spans="1:1">
      <c r="A32" s="144"/>
    </row>
    <row r="33" spans="1:1">
      <c r="A33" s="144"/>
    </row>
    <row r="34" spans="1:1">
      <c r="A34" s="144"/>
    </row>
    <row r="35" spans="1:1">
      <c r="A35" s="144"/>
    </row>
    <row r="36" spans="1:1">
      <c r="A36" s="144"/>
    </row>
    <row r="37" spans="1:1">
      <c r="A37" s="144"/>
    </row>
    <row r="38" spans="1:1">
      <c r="A38" s="144"/>
    </row>
    <row r="39" spans="1:1">
      <c r="A39" s="144"/>
    </row>
    <row r="40" spans="1:1">
      <c r="A40" s="144"/>
    </row>
    <row r="41" spans="1:1">
      <c r="A41" s="144"/>
    </row>
    <row r="42" spans="1:1">
      <c r="A42" s="144"/>
    </row>
    <row r="43" spans="1:1">
      <c r="A43" s="144"/>
    </row>
    <row r="44" spans="1:1">
      <c r="A44" s="144"/>
    </row>
    <row r="45" spans="1:1">
      <c r="A45" s="144"/>
    </row>
    <row r="46" spans="1:1">
      <c r="A46" s="144"/>
    </row>
    <row r="47" spans="1:1">
      <c r="A47" s="144"/>
    </row>
    <row r="48" spans="1:1">
      <c r="A48" s="144"/>
    </row>
    <row r="49" spans="1:1">
      <c r="A49" s="144"/>
    </row>
    <row r="50" spans="1:1">
      <c r="A50" s="144"/>
    </row>
    <row r="51" spans="1:1">
      <c r="A51" s="144"/>
    </row>
    <row r="52" spans="1:1">
      <c r="A52" s="144"/>
    </row>
    <row r="53" spans="1:1">
      <c r="A53" s="144"/>
    </row>
    <row r="54" spans="1:1">
      <c r="A54" s="144"/>
    </row>
    <row r="55" spans="1:1">
      <c r="A55" s="144"/>
    </row>
    <row r="56" spans="1:1">
      <c r="A56" s="144"/>
    </row>
    <row r="57" spans="1:1">
      <c r="A57" s="144"/>
    </row>
    <row r="58" spans="1:1">
      <c r="A58" s="144"/>
    </row>
    <row r="59" spans="1:1">
      <c r="A59" s="144"/>
    </row>
    <row r="60" spans="1:1">
      <c r="A60" s="144"/>
    </row>
    <row r="61" spans="1:1">
      <c r="A61" s="144"/>
    </row>
    <row r="62" spans="1:1">
      <c r="A62" s="144"/>
    </row>
    <row r="63" spans="1:1">
      <c r="A63" s="144"/>
    </row>
    <row r="64" spans="1:1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7"/>
    </row>
    <row r="191" spans="1:1">
      <c r="A191" s="147"/>
    </row>
    <row r="192" spans="1:1">
      <c r="A192" s="147"/>
    </row>
    <row r="193" spans="1:1">
      <c r="A193" s="147"/>
    </row>
    <row r="194" spans="1:1">
      <c r="A194" s="147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4"/>
    </row>
    <row r="201" spans="1:1">
      <c r="A201" s="144"/>
    </row>
    <row r="202" spans="1:1">
      <c r="A202" s="144"/>
    </row>
    <row r="203" spans="1:1">
      <c r="A203" s="144"/>
    </row>
    <row r="204" spans="1:1">
      <c r="A204" s="144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AFA71-D6E9-4835-BCEC-D760444BE9DF}">
  <dimension ref="A1:J269"/>
  <sheetViews>
    <sheetView workbookViewId="0">
      <selection activeCell="I25" sqref="I25"/>
    </sheetView>
  </sheetViews>
  <sheetFormatPr defaultColWidth="8.88671875" defaultRowHeight="13.2"/>
  <cols>
    <col min="1" max="1" width="13.109375" style="132" customWidth="1"/>
    <col min="2" max="2" width="12" style="132" bestFit="1" customWidth="1"/>
    <col min="3" max="3" width="10.6640625" style="132" bestFit="1" customWidth="1"/>
    <col min="4" max="4" width="14.5546875" style="132" customWidth="1"/>
    <col min="5" max="16384" width="8.88671875" style="132"/>
  </cols>
  <sheetData>
    <row r="1" spans="1:10" ht="39.6">
      <c r="A1" s="157" t="s">
        <v>148</v>
      </c>
      <c r="B1" s="157" t="s">
        <v>15</v>
      </c>
      <c r="C1" s="157" t="s">
        <v>197</v>
      </c>
      <c r="D1" s="157" t="s">
        <v>198</v>
      </c>
      <c r="E1" s="157" t="s">
        <v>30</v>
      </c>
    </row>
    <row r="2" spans="1:10">
      <c r="A2" s="142" t="s">
        <v>109</v>
      </c>
      <c r="B2" s="156">
        <v>22.828092465326804</v>
      </c>
      <c r="C2" s="156">
        <v>5.0387700000000004</v>
      </c>
      <c r="D2" s="156">
        <v>13.920131077093275</v>
      </c>
      <c r="E2" s="156">
        <v>2.014373388233528</v>
      </c>
      <c r="F2" s="146"/>
      <c r="G2" s="146"/>
      <c r="H2" s="146"/>
      <c r="I2" s="146"/>
      <c r="J2" s="146"/>
    </row>
    <row r="3" spans="1:10">
      <c r="A3" s="142" t="s">
        <v>110</v>
      </c>
      <c r="B3" s="156">
        <v>24.091602320751409</v>
      </c>
      <c r="C3" s="156">
        <v>5.67</v>
      </c>
      <c r="D3" s="156">
        <v>14.492247412149666</v>
      </c>
      <c r="E3" s="156">
        <v>2.242541908601738</v>
      </c>
      <c r="F3" s="146"/>
      <c r="G3" s="146"/>
      <c r="H3" s="146"/>
      <c r="I3" s="146"/>
      <c r="J3" s="146"/>
    </row>
    <row r="4" spans="1:10">
      <c r="A4" s="142" t="s">
        <v>111</v>
      </c>
      <c r="B4" s="156">
        <v>24.128933269060301</v>
      </c>
      <c r="C4" s="156">
        <v>6.2003000000000004</v>
      </c>
      <c r="D4" s="156">
        <v>13.662016352975796</v>
      </c>
      <c r="E4" s="156">
        <v>2.5556629160845037</v>
      </c>
      <c r="F4" s="146"/>
      <c r="G4" s="146"/>
      <c r="H4" s="146"/>
      <c r="I4" s="146"/>
      <c r="J4" s="146"/>
    </row>
    <row r="5" spans="1:10">
      <c r="A5" s="142" t="s">
        <v>112</v>
      </c>
      <c r="B5" s="156">
        <v>25.818682172426755</v>
      </c>
      <c r="C5" s="156">
        <v>7.33371</v>
      </c>
      <c r="D5" s="156">
        <v>14.04650060750757</v>
      </c>
      <c r="E5" s="156">
        <v>2.4430375649191838</v>
      </c>
      <c r="F5" s="146"/>
      <c r="G5" s="146"/>
      <c r="H5" s="146"/>
      <c r="I5" s="146"/>
      <c r="J5" s="146"/>
    </row>
    <row r="6" spans="1:10">
      <c r="A6" s="142" t="s">
        <v>113</v>
      </c>
      <c r="B6" s="156">
        <v>26.589894973010903</v>
      </c>
      <c r="C6" s="156">
        <v>8.6632999999999996</v>
      </c>
      <c r="D6" s="156">
        <v>14.210857005018134</v>
      </c>
      <c r="E6" s="156">
        <v>1.9404219679927719</v>
      </c>
      <c r="F6" s="146"/>
      <c r="G6" s="146"/>
      <c r="H6" s="146"/>
      <c r="I6" s="146"/>
      <c r="J6" s="146"/>
    </row>
    <row r="7" spans="1:10">
      <c r="A7" s="142" t="s">
        <v>114</v>
      </c>
      <c r="B7" s="156">
        <v>27.006370543520113</v>
      </c>
      <c r="C7" s="156">
        <v>8.6578199999999992</v>
      </c>
      <c r="D7" s="156">
        <v>13.659180563573729</v>
      </c>
      <c r="E7" s="156">
        <v>2.8366949799463836</v>
      </c>
      <c r="F7" s="146"/>
      <c r="G7" s="146"/>
      <c r="H7" s="146"/>
      <c r="I7" s="146"/>
      <c r="J7" s="146"/>
    </row>
    <row r="8" spans="1:10">
      <c r="A8" s="142" t="s">
        <v>34</v>
      </c>
      <c r="B8" s="156">
        <v>27.176923792227427</v>
      </c>
      <c r="C8" s="156">
        <v>8.92</v>
      </c>
      <c r="D8" s="156">
        <v>14.394331644053418</v>
      </c>
      <c r="E8" s="156">
        <v>1.731359148174006</v>
      </c>
      <c r="F8" s="146"/>
      <c r="G8" s="146"/>
      <c r="H8" s="146"/>
      <c r="I8" s="146"/>
      <c r="J8" s="146"/>
    </row>
    <row r="9" spans="1:10">
      <c r="A9" s="142" t="s">
        <v>37</v>
      </c>
      <c r="B9" s="156">
        <v>28.589694390597565</v>
      </c>
      <c r="C9" s="156">
        <v>10.348190000000001</v>
      </c>
      <c r="D9" s="156">
        <v>14.476912760305853</v>
      </c>
      <c r="E9" s="156">
        <v>1.7734436302917098</v>
      </c>
      <c r="F9" s="146"/>
      <c r="G9" s="146"/>
      <c r="H9" s="146"/>
      <c r="I9" s="146"/>
      <c r="J9" s="146"/>
    </row>
    <row r="10" spans="1:10">
      <c r="A10" s="142" t="s">
        <v>196</v>
      </c>
      <c r="B10" s="156">
        <v>28.511148000000002</v>
      </c>
      <c r="C10" s="156">
        <v>11.6</v>
      </c>
      <c r="D10" s="156">
        <v>14.525</v>
      </c>
      <c r="E10" s="156">
        <v>0.45</v>
      </c>
      <c r="F10" s="146"/>
      <c r="G10" s="146"/>
      <c r="H10" s="146"/>
      <c r="I10" s="146"/>
      <c r="J10" s="146"/>
    </row>
    <row r="11" spans="1:10">
      <c r="A11" s="142" t="s">
        <v>150</v>
      </c>
      <c r="B11" s="156">
        <v>29.431148</v>
      </c>
      <c r="C11" s="156">
        <v>12.5</v>
      </c>
      <c r="D11" s="156">
        <v>14.5</v>
      </c>
      <c r="E11" s="156">
        <v>0.6</v>
      </c>
      <c r="F11" s="146"/>
      <c r="G11" s="146"/>
      <c r="H11" s="146"/>
      <c r="I11" s="146"/>
      <c r="J11" s="146"/>
    </row>
    <row r="12" spans="1:10">
      <c r="A12" s="142"/>
      <c r="B12" s="99"/>
      <c r="C12" s="99"/>
      <c r="D12" s="99"/>
      <c r="E12" s="146"/>
      <c r="F12" s="146"/>
    </row>
    <row r="13" spans="1:10">
      <c r="A13" s="142"/>
      <c r="B13" s="99"/>
      <c r="C13" s="99"/>
      <c r="D13" s="99"/>
      <c r="E13" s="146"/>
      <c r="F13" s="146"/>
    </row>
    <row r="14" spans="1:10">
      <c r="A14" s="142"/>
      <c r="B14" s="99"/>
      <c r="C14" s="99"/>
      <c r="D14" s="99"/>
      <c r="E14" s="146"/>
      <c r="F14" s="146"/>
    </row>
    <row r="15" spans="1:10">
      <c r="A15" s="142"/>
      <c r="B15" s="99"/>
      <c r="C15" s="99"/>
      <c r="D15" s="99"/>
      <c r="E15" s="146"/>
      <c r="F15" s="146"/>
    </row>
    <row r="16" spans="1:10">
      <c r="A16" s="142"/>
      <c r="B16" s="99"/>
      <c r="C16" s="99"/>
      <c r="D16" s="99"/>
      <c r="E16" s="146"/>
      <c r="F16" s="146"/>
    </row>
    <row r="17" spans="1:6">
      <c r="A17" s="142"/>
      <c r="B17" s="99"/>
      <c r="C17" s="99"/>
      <c r="D17" s="99"/>
      <c r="E17" s="146"/>
      <c r="F17" s="146"/>
    </row>
    <row r="18" spans="1:6">
      <c r="A18" s="142"/>
      <c r="B18" s="99"/>
      <c r="C18" s="99"/>
      <c r="D18" s="99"/>
      <c r="E18" s="146"/>
      <c r="F18" s="146"/>
    </row>
    <row r="19" spans="1:6">
      <c r="A19" s="142"/>
      <c r="B19" s="99"/>
      <c r="C19" s="99"/>
      <c r="D19" s="99"/>
      <c r="E19" s="146"/>
      <c r="F19" s="146"/>
    </row>
    <row r="20" spans="1:6">
      <c r="A20" s="142"/>
      <c r="B20" s="99"/>
      <c r="C20" s="99"/>
      <c r="D20" s="99"/>
      <c r="E20" s="146"/>
      <c r="F20" s="146"/>
    </row>
    <row r="21" spans="1:6">
      <c r="A21" s="142"/>
      <c r="B21" s="99"/>
      <c r="C21" s="99"/>
      <c r="D21" s="99"/>
      <c r="E21" s="146"/>
      <c r="F21" s="146"/>
    </row>
    <row r="22" spans="1:6">
      <c r="A22" s="142"/>
      <c r="B22" s="99"/>
      <c r="C22" s="99"/>
      <c r="D22" s="99"/>
      <c r="E22" s="146"/>
      <c r="F22" s="146"/>
    </row>
    <row r="23" spans="1:6">
      <c r="A23" s="142"/>
      <c r="B23" s="99"/>
      <c r="C23" s="99"/>
      <c r="D23" s="99"/>
      <c r="E23" s="146"/>
      <c r="F23" s="146"/>
    </row>
    <row r="24" spans="1:6">
      <c r="A24" s="142"/>
      <c r="B24" s="99"/>
      <c r="C24" s="99"/>
      <c r="D24" s="99"/>
      <c r="E24" s="146"/>
      <c r="F24" s="146"/>
    </row>
    <row r="25" spans="1:6">
      <c r="A25" s="142"/>
      <c r="B25" s="99"/>
      <c r="C25" s="99"/>
      <c r="D25" s="99"/>
      <c r="E25" s="146"/>
      <c r="F25" s="146"/>
    </row>
    <row r="26" spans="1:6">
      <c r="A26" s="142"/>
      <c r="B26" s="99"/>
      <c r="C26" s="99"/>
      <c r="D26" s="99"/>
      <c r="E26" s="146"/>
      <c r="F26" s="146"/>
    </row>
    <row r="27" spans="1:6">
      <c r="A27" s="142"/>
      <c r="B27" s="99"/>
      <c r="C27" s="99"/>
      <c r="D27" s="99"/>
      <c r="F27" s="146"/>
    </row>
    <row r="28" spans="1:6">
      <c r="A28" s="142"/>
      <c r="B28" s="99"/>
      <c r="C28" s="99"/>
      <c r="D28" s="99"/>
      <c r="E28" s="146"/>
      <c r="F28" s="146"/>
    </row>
    <row r="29" spans="1:6">
      <c r="A29" s="142"/>
      <c r="B29" s="99"/>
      <c r="C29" s="99"/>
      <c r="D29" s="99"/>
      <c r="E29" s="146"/>
      <c r="F29" s="146"/>
    </row>
    <row r="30" spans="1:6">
      <c r="A30" s="142"/>
      <c r="B30" s="99"/>
      <c r="C30" s="99"/>
      <c r="D30" s="99"/>
      <c r="E30" s="146"/>
      <c r="F30" s="146"/>
    </row>
    <row r="31" spans="1:6">
      <c r="A31" s="144"/>
      <c r="B31" s="145"/>
      <c r="C31" s="145"/>
      <c r="D31" s="146"/>
      <c r="E31" s="146"/>
      <c r="F31" s="146"/>
    </row>
    <row r="32" spans="1:6">
      <c r="A32" s="144"/>
      <c r="B32" s="145"/>
      <c r="C32" s="145"/>
      <c r="D32" s="146"/>
      <c r="E32" s="146"/>
      <c r="F32" s="146"/>
    </row>
    <row r="33" spans="1:6">
      <c r="A33" s="144"/>
      <c r="B33" s="145"/>
      <c r="C33" s="145"/>
      <c r="D33" s="146"/>
      <c r="E33" s="146"/>
      <c r="F33" s="146"/>
    </row>
    <row r="34" spans="1:6">
      <c r="A34" s="144"/>
      <c r="B34" s="145"/>
      <c r="C34" s="145"/>
      <c r="D34" s="146"/>
      <c r="E34" s="146"/>
      <c r="F34" s="146"/>
    </row>
    <row r="35" spans="1:6">
      <c r="A35" s="144"/>
      <c r="B35" s="145"/>
      <c r="C35" s="145"/>
      <c r="D35" s="146"/>
      <c r="E35" s="146"/>
      <c r="F35" s="146"/>
    </row>
    <row r="36" spans="1:6">
      <c r="A36" s="144"/>
      <c r="B36" s="145"/>
      <c r="C36" s="145"/>
      <c r="D36" s="146"/>
      <c r="E36" s="146"/>
      <c r="F36" s="146"/>
    </row>
    <row r="37" spans="1:6">
      <c r="A37" s="144"/>
      <c r="B37" s="145"/>
      <c r="C37" s="145"/>
      <c r="D37" s="146"/>
      <c r="E37" s="146"/>
      <c r="F37" s="146"/>
    </row>
    <row r="38" spans="1:6">
      <c r="A38" s="144"/>
      <c r="B38" s="145"/>
      <c r="C38" s="145"/>
      <c r="D38" s="146"/>
      <c r="E38" s="146"/>
      <c r="F38" s="146"/>
    </row>
    <row r="39" spans="1:6">
      <c r="A39" s="144"/>
      <c r="B39" s="145"/>
      <c r="C39" s="145"/>
      <c r="D39" s="146"/>
      <c r="E39" s="146"/>
      <c r="F39" s="146"/>
    </row>
    <row r="40" spans="1:6">
      <c r="A40" s="144"/>
      <c r="B40" s="145"/>
      <c r="C40" s="145"/>
      <c r="D40" s="146"/>
      <c r="E40" s="146"/>
      <c r="F40" s="146"/>
    </row>
    <row r="41" spans="1:6">
      <c r="A41" s="144"/>
      <c r="B41" s="145"/>
      <c r="C41" s="145"/>
      <c r="D41" s="146"/>
      <c r="E41" s="146"/>
      <c r="F41" s="146"/>
    </row>
    <row r="42" spans="1:6">
      <c r="A42" s="144"/>
      <c r="B42" s="145"/>
      <c r="C42" s="145"/>
      <c r="D42" s="146"/>
      <c r="E42" s="146"/>
      <c r="F42" s="146"/>
    </row>
    <row r="43" spans="1:6">
      <c r="A43" s="144"/>
      <c r="B43" s="145"/>
      <c r="C43" s="145"/>
      <c r="D43" s="146"/>
      <c r="E43" s="146"/>
      <c r="F43" s="146"/>
    </row>
    <row r="44" spans="1:6">
      <c r="A44" s="144"/>
      <c r="B44" s="145"/>
      <c r="C44" s="145"/>
      <c r="D44" s="146"/>
      <c r="E44" s="146"/>
      <c r="F44" s="146"/>
    </row>
    <row r="45" spans="1:6">
      <c r="A45" s="144"/>
      <c r="B45" s="145"/>
      <c r="C45" s="145"/>
      <c r="D45" s="146"/>
      <c r="E45" s="146"/>
      <c r="F45" s="146"/>
    </row>
    <row r="46" spans="1:6">
      <c r="A46" s="144"/>
      <c r="B46" s="145"/>
      <c r="C46" s="145"/>
      <c r="D46" s="146"/>
      <c r="E46" s="146"/>
      <c r="F46" s="146"/>
    </row>
    <row r="47" spans="1:6">
      <c r="A47" s="144"/>
      <c r="B47" s="145"/>
      <c r="C47" s="145"/>
      <c r="D47" s="146"/>
      <c r="E47" s="146"/>
      <c r="F47" s="146"/>
    </row>
    <row r="48" spans="1:6">
      <c r="A48" s="144"/>
      <c r="B48" s="145"/>
      <c r="C48" s="145"/>
      <c r="D48" s="146"/>
      <c r="E48" s="146"/>
      <c r="F48" s="146"/>
    </row>
    <row r="49" spans="1:6">
      <c r="A49" s="144"/>
      <c r="B49" s="145"/>
      <c r="C49" s="145"/>
      <c r="D49" s="146"/>
      <c r="E49" s="146"/>
      <c r="F49" s="146"/>
    </row>
    <row r="50" spans="1:6">
      <c r="A50" s="144"/>
      <c r="B50" s="145"/>
      <c r="C50" s="145"/>
      <c r="D50" s="146"/>
      <c r="E50" s="146"/>
      <c r="F50" s="146"/>
    </row>
    <row r="51" spans="1:6">
      <c r="A51" s="144"/>
      <c r="B51" s="145"/>
      <c r="C51" s="145"/>
      <c r="D51" s="146"/>
      <c r="E51" s="146"/>
      <c r="F51" s="146"/>
    </row>
    <row r="52" spans="1:6">
      <c r="A52" s="144"/>
      <c r="B52" s="145"/>
      <c r="C52" s="145"/>
      <c r="D52" s="146"/>
      <c r="E52" s="146"/>
      <c r="F52" s="146"/>
    </row>
    <row r="53" spans="1:6">
      <c r="A53" s="144"/>
      <c r="B53" s="145"/>
      <c r="C53" s="145"/>
      <c r="D53" s="146"/>
      <c r="E53" s="146"/>
      <c r="F53" s="146"/>
    </row>
    <row r="54" spans="1:6">
      <c r="A54" s="144"/>
      <c r="D54" s="146"/>
      <c r="E54" s="146"/>
      <c r="F54" s="146"/>
    </row>
    <row r="55" spans="1:6">
      <c r="A55" s="144"/>
    </row>
    <row r="56" spans="1:6">
      <c r="A56" s="144"/>
    </row>
    <row r="57" spans="1:6">
      <c r="A57" s="144"/>
    </row>
    <row r="58" spans="1:6">
      <c r="A58" s="144"/>
    </row>
    <row r="59" spans="1:6">
      <c r="A59" s="144"/>
    </row>
    <row r="60" spans="1:6">
      <c r="A60" s="144"/>
    </row>
    <row r="61" spans="1:6">
      <c r="A61" s="144"/>
    </row>
    <row r="62" spans="1:6">
      <c r="A62" s="144"/>
    </row>
    <row r="63" spans="1:6">
      <c r="A63" s="144"/>
    </row>
    <row r="64" spans="1:6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7"/>
    </row>
    <row r="201" spans="1:1">
      <c r="A201" s="147"/>
    </row>
    <row r="202" spans="1:1">
      <c r="A202" s="147"/>
    </row>
    <row r="203" spans="1:1">
      <c r="A203" s="147"/>
    </row>
    <row r="204" spans="1:1">
      <c r="A204" s="147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  <row r="269" spans="1:1">
      <c r="A269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15E29-63F8-4719-A6B4-47EE34BDE6CF}">
  <dimension ref="A1:G269"/>
  <sheetViews>
    <sheetView workbookViewId="0">
      <selection activeCell="Q10" sqref="Q10"/>
    </sheetView>
  </sheetViews>
  <sheetFormatPr defaultColWidth="8.88671875" defaultRowHeight="13.2"/>
  <cols>
    <col min="1" max="1" width="13.109375" style="132" customWidth="1"/>
    <col min="2" max="2" width="12" style="132" bestFit="1" customWidth="1"/>
    <col min="3" max="3" width="10.6640625" style="132" bestFit="1" customWidth="1"/>
    <col min="4" max="4" width="14.5546875" style="132" customWidth="1"/>
    <col min="5" max="16384" width="8.88671875" style="132"/>
  </cols>
  <sheetData>
    <row r="1" spans="1:7" ht="26.4">
      <c r="A1" s="157" t="s">
        <v>148</v>
      </c>
      <c r="B1" s="157" t="s">
        <v>15</v>
      </c>
      <c r="C1" s="157" t="s">
        <v>30</v>
      </c>
      <c r="D1" s="157" t="s">
        <v>161</v>
      </c>
      <c r="E1" s="143"/>
    </row>
    <row r="2" spans="1:7">
      <c r="A2" s="142" t="s">
        <v>109</v>
      </c>
      <c r="B2" s="156">
        <v>45.645278753946478</v>
      </c>
      <c r="C2" s="156">
        <v>13.107299501123148</v>
      </c>
      <c r="D2" s="156">
        <v>32.277515252823328</v>
      </c>
      <c r="E2" s="146"/>
      <c r="F2" s="146"/>
      <c r="G2" s="146"/>
    </row>
    <row r="3" spans="1:7">
      <c r="A3" s="142" t="s">
        <v>110</v>
      </c>
      <c r="B3" s="156">
        <v>45.326688633074973</v>
      </c>
      <c r="C3" s="156">
        <v>11.952508472427619</v>
      </c>
      <c r="D3" s="156">
        <v>33.110294160647356</v>
      </c>
      <c r="E3" s="146"/>
      <c r="F3" s="146"/>
      <c r="G3" s="146"/>
    </row>
    <row r="4" spans="1:7">
      <c r="A4" s="142" t="s">
        <v>111</v>
      </c>
      <c r="B4" s="156">
        <v>45.396040529250584</v>
      </c>
      <c r="C4" s="156">
        <v>11.579831238332519</v>
      </c>
      <c r="D4" s="156">
        <v>33.415579290918068</v>
      </c>
      <c r="E4" s="146"/>
      <c r="F4" s="146"/>
      <c r="G4" s="146"/>
    </row>
    <row r="5" spans="1:7">
      <c r="A5" s="142" t="s">
        <v>112</v>
      </c>
      <c r="B5" s="156">
        <v>50.109029724718859</v>
      </c>
      <c r="C5" s="156">
        <v>14.018496375209455</v>
      </c>
      <c r="D5" s="156">
        <v>35.535109349509405</v>
      </c>
      <c r="E5" s="146"/>
      <c r="F5" s="146"/>
      <c r="G5" s="146"/>
    </row>
    <row r="6" spans="1:7">
      <c r="A6" s="142" t="s">
        <v>113</v>
      </c>
      <c r="B6" s="156">
        <v>50.052447476720523</v>
      </c>
      <c r="C6" s="156">
        <v>13.382755633454524</v>
      </c>
      <c r="D6" s="156">
        <v>36.267676843266003</v>
      </c>
      <c r="E6" s="146"/>
      <c r="F6" s="146"/>
      <c r="G6" s="146"/>
    </row>
    <row r="7" spans="1:7">
      <c r="A7" s="142" t="s">
        <v>114</v>
      </c>
      <c r="B7" s="156">
        <v>52.141729011229799</v>
      </c>
      <c r="C7" s="156">
        <v>13.833111753485145</v>
      </c>
      <c r="D7" s="156">
        <v>37.967281257744652</v>
      </c>
      <c r="E7" s="146"/>
      <c r="F7" s="146"/>
      <c r="G7" s="146"/>
    </row>
    <row r="8" spans="1:7">
      <c r="A8" s="142" t="s">
        <v>34</v>
      </c>
      <c r="B8" s="156">
        <v>51.690524307799123</v>
      </c>
      <c r="C8" s="156">
        <v>13.675364391156284</v>
      </c>
      <c r="D8" s="156">
        <v>37.674373916642843</v>
      </c>
      <c r="E8" s="146"/>
      <c r="F8" s="146"/>
      <c r="G8" s="146"/>
    </row>
    <row r="9" spans="1:7">
      <c r="A9" s="142" t="s">
        <v>37</v>
      </c>
      <c r="B9" s="156">
        <v>52.804356746265945</v>
      </c>
      <c r="C9" s="156">
        <v>13.523827120054571</v>
      </c>
      <c r="D9" s="156">
        <v>38.969602626211376</v>
      </c>
      <c r="E9" s="146"/>
      <c r="F9" s="146"/>
      <c r="G9" s="146"/>
    </row>
    <row r="10" spans="1:7">
      <c r="A10" s="142" t="s">
        <v>196</v>
      </c>
      <c r="B10" s="156">
        <v>53.45</v>
      </c>
      <c r="C10" s="156">
        <v>13.8</v>
      </c>
      <c r="D10" s="156">
        <v>39.299999999999997</v>
      </c>
      <c r="E10" s="146"/>
      <c r="F10" s="146"/>
      <c r="G10" s="146"/>
    </row>
    <row r="11" spans="1:7">
      <c r="A11" s="142" t="s">
        <v>150</v>
      </c>
      <c r="B11" s="156">
        <v>55.375</v>
      </c>
      <c r="C11" s="156">
        <v>14.8</v>
      </c>
      <c r="D11" s="156">
        <v>40.174999999999997</v>
      </c>
      <c r="E11" s="146"/>
      <c r="F11" s="146"/>
      <c r="G11" s="146"/>
    </row>
    <row r="12" spans="1:7">
      <c r="A12" s="142"/>
      <c r="B12" s="99"/>
      <c r="C12" s="99"/>
      <c r="D12" s="99"/>
      <c r="E12" s="146"/>
      <c r="F12" s="146"/>
    </row>
    <row r="13" spans="1:7">
      <c r="A13" s="142"/>
      <c r="B13" s="99"/>
      <c r="C13" s="99"/>
      <c r="D13" s="99"/>
      <c r="E13" s="146"/>
      <c r="F13" s="146"/>
    </row>
    <row r="14" spans="1:7">
      <c r="A14" s="142"/>
      <c r="B14" s="99"/>
      <c r="C14" s="99"/>
      <c r="D14" s="99"/>
      <c r="E14" s="146"/>
      <c r="F14" s="146"/>
    </row>
    <row r="15" spans="1:7">
      <c r="A15" s="142"/>
      <c r="B15" s="99"/>
      <c r="C15" s="99"/>
      <c r="D15" s="99"/>
      <c r="E15" s="146"/>
      <c r="F15" s="146"/>
    </row>
    <row r="16" spans="1:7">
      <c r="A16" s="142"/>
      <c r="B16" s="99"/>
      <c r="C16" s="99"/>
      <c r="D16" s="99"/>
      <c r="E16" s="146"/>
      <c r="F16" s="146"/>
    </row>
    <row r="17" spans="1:6">
      <c r="A17" s="142"/>
      <c r="B17" s="99"/>
      <c r="C17" s="99"/>
      <c r="D17" s="99"/>
      <c r="E17" s="146"/>
      <c r="F17" s="146"/>
    </row>
    <row r="18" spans="1:6">
      <c r="A18" s="142"/>
      <c r="B18" s="99"/>
      <c r="C18" s="99"/>
      <c r="D18" s="99"/>
      <c r="E18" s="146"/>
      <c r="F18" s="146"/>
    </row>
    <row r="19" spans="1:6">
      <c r="A19" s="142"/>
      <c r="B19" s="99"/>
      <c r="C19" s="99"/>
      <c r="D19" s="99"/>
      <c r="E19" s="146"/>
      <c r="F19" s="146"/>
    </row>
    <row r="20" spans="1:6">
      <c r="A20" s="142"/>
      <c r="B20" s="99"/>
      <c r="C20" s="99"/>
      <c r="D20" s="99"/>
      <c r="E20" s="146"/>
      <c r="F20" s="146"/>
    </row>
    <row r="21" spans="1:6">
      <c r="A21" s="142"/>
      <c r="B21" s="99"/>
      <c r="C21" s="99"/>
      <c r="D21" s="99"/>
      <c r="E21" s="146"/>
      <c r="F21" s="146"/>
    </row>
    <row r="22" spans="1:6">
      <c r="A22" s="142"/>
      <c r="B22" s="99"/>
      <c r="C22" s="99"/>
      <c r="D22" s="99"/>
      <c r="E22" s="146"/>
      <c r="F22" s="146"/>
    </row>
    <row r="23" spans="1:6">
      <c r="A23" s="142"/>
      <c r="B23" s="99"/>
      <c r="C23" s="99"/>
      <c r="D23" s="99"/>
      <c r="E23" s="146"/>
      <c r="F23" s="146"/>
    </row>
    <row r="24" spans="1:6">
      <c r="A24" s="142"/>
      <c r="B24" s="99"/>
      <c r="C24" s="99"/>
      <c r="D24" s="99"/>
      <c r="E24" s="146"/>
      <c r="F24" s="146"/>
    </row>
    <row r="25" spans="1:6">
      <c r="A25" s="142"/>
      <c r="B25" s="99"/>
      <c r="C25" s="99"/>
      <c r="D25" s="99"/>
      <c r="E25" s="146"/>
      <c r="F25" s="146"/>
    </row>
    <row r="26" spans="1:6">
      <c r="A26" s="142"/>
      <c r="B26" s="99"/>
      <c r="C26" s="99"/>
      <c r="D26" s="99"/>
      <c r="E26" s="146"/>
      <c r="F26" s="146"/>
    </row>
    <row r="27" spans="1:6">
      <c r="A27" s="142"/>
      <c r="B27" s="99"/>
      <c r="C27" s="99"/>
      <c r="D27" s="99"/>
      <c r="F27" s="146"/>
    </row>
    <row r="28" spans="1:6">
      <c r="A28" s="142"/>
      <c r="B28" s="99"/>
      <c r="C28" s="99"/>
      <c r="D28" s="99"/>
      <c r="E28" s="146"/>
      <c r="F28" s="146"/>
    </row>
    <row r="29" spans="1:6">
      <c r="A29" s="142"/>
      <c r="B29" s="99"/>
      <c r="C29" s="99"/>
      <c r="D29" s="99"/>
      <c r="E29" s="146"/>
      <c r="F29" s="146"/>
    </row>
    <row r="30" spans="1:6">
      <c r="A30" s="142"/>
      <c r="B30" s="99"/>
      <c r="C30" s="99"/>
      <c r="D30" s="99"/>
      <c r="E30" s="146"/>
      <c r="F30" s="146"/>
    </row>
    <row r="31" spans="1:6">
      <c r="A31" s="144"/>
      <c r="B31" s="145"/>
      <c r="C31" s="145"/>
      <c r="D31" s="146"/>
      <c r="E31" s="146"/>
      <c r="F31" s="146"/>
    </row>
    <row r="32" spans="1:6">
      <c r="A32" s="144"/>
      <c r="B32" s="145"/>
      <c r="C32" s="145"/>
      <c r="D32" s="146"/>
      <c r="E32" s="146"/>
      <c r="F32" s="146"/>
    </row>
    <row r="33" spans="1:6">
      <c r="A33" s="144"/>
      <c r="B33" s="145"/>
      <c r="C33" s="145"/>
      <c r="D33" s="146"/>
      <c r="E33" s="146"/>
      <c r="F33" s="146"/>
    </row>
    <row r="34" spans="1:6">
      <c r="A34" s="144"/>
      <c r="B34" s="145"/>
      <c r="C34" s="145"/>
      <c r="D34" s="146"/>
      <c r="E34" s="146"/>
      <c r="F34" s="146"/>
    </row>
    <row r="35" spans="1:6">
      <c r="A35" s="144"/>
      <c r="B35" s="145"/>
      <c r="C35" s="145"/>
      <c r="D35" s="146"/>
      <c r="E35" s="146"/>
      <c r="F35" s="146"/>
    </row>
    <row r="36" spans="1:6">
      <c r="A36" s="144"/>
      <c r="B36" s="145"/>
      <c r="C36" s="145"/>
      <c r="D36" s="146"/>
      <c r="E36" s="146"/>
      <c r="F36" s="146"/>
    </row>
    <row r="37" spans="1:6">
      <c r="A37" s="144"/>
      <c r="B37" s="145"/>
      <c r="C37" s="145"/>
      <c r="D37" s="146"/>
      <c r="E37" s="146"/>
      <c r="F37" s="146"/>
    </row>
    <row r="38" spans="1:6">
      <c r="A38" s="144"/>
      <c r="B38" s="145"/>
      <c r="C38" s="145"/>
      <c r="D38" s="146"/>
      <c r="E38" s="146"/>
      <c r="F38" s="146"/>
    </row>
    <row r="39" spans="1:6">
      <c r="A39" s="144"/>
      <c r="B39" s="145"/>
      <c r="C39" s="145"/>
      <c r="D39" s="146"/>
      <c r="E39" s="146"/>
      <c r="F39" s="146"/>
    </row>
    <row r="40" spans="1:6">
      <c r="A40" s="144"/>
      <c r="B40" s="145"/>
      <c r="C40" s="145"/>
      <c r="D40" s="146"/>
      <c r="E40" s="146"/>
      <c r="F40" s="146"/>
    </row>
    <row r="41" spans="1:6">
      <c r="A41" s="144"/>
      <c r="B41" s="145"/>
      <c r="C41" s="145"/>
      <c r="D41" s="146"/>
      <c r="E41" s="146"/>
      <c r="F41" s="146"/>
    </row>
    <row r="42" spans="1:6">
      <c r="A42" s="144"/>
      <c r="B42" s="145"/>
      <c r="C42" s="145"/>
      <c r="D42" s="146"/>
      <c r="E42" s="146"/>
      <c r="F42" s="146"/>
    </row>
    <row r="43" spans="1:6">
      <c r="A43" s="144"/>
      <c r="B43" s="145"/>
      <c r="C43" s="145"/>
      <c r="D43" s="146"/>
      <c r="E43" s="146"/>
      <c r="F43" s="146"/>
    </row>
    <row r="44" spans="1:6">
      <c r="A44" s="144"/>
      <c r="B44" s="145"/>
      <c r="C44" s="145"/>
      <c r="D44" s="146"/>
      <c r="E44" s="146"/>
      <c r="F44" s="146"/>
    </row>
    <row r="45" spans="1:6">
      <c r="A45" s="144"/>
      <c r="B45" s="145"/>
      <c r="C45" s="145"/>
      <c r="D45" s="146"/>
      <c r="E45" s="146"/>
      <c r="F45" s="146"/>
    </row>
    <row r="46" spans="1:6">
      <c r="A46" s="144"/>
      <c r="B46" s="145"/>
      <c r="C46" s="145"/>
      <c r="D46" s="146"/>
      <c r="E46" s="146"/>
      <c r="F46" s="146"/>
    </row>
    <row r="47" spans="1:6">
      <c r="A47" s="144"/>
      <c r="B47" s="145"/>
      <c r="C47" s="145"/>
      <c r="D47" s="146"/>
      <c r="E47" s="146"/>
      <c r="F47" s="146"/>
    </row>
    <row r="48" spans="1:6">
      <c r="A48" s="144"/>
      <c r="B48" s="145"/>
      <c r="C48" s="145"/>
      <c r="D48" s="146"/>
      <c r="E48" s="146"/>
      <c r="F48" s="146"/>
    </row>
    <row r="49" spans="1:6">
      <c r="A49" s="144"/>
      <c r="B49" s="145"/>
      <c r="C49" s="145"/>
      <c r="D49" s="146"/>
      <c r="E49" s="146"/>
      <c r="F49" s="146"/>
    </row>
    <row r="50" spans="1:6">
      <c r="A50" s="144"/>
      <c r="B50" s="145"/>
      <c r="C50" s="145"/>
      <c r="D50" s="146"/>
      <c r="E50" s="146"/>
      <c r="F50" s="146"/>
    </row>
    <row r="51" spans="1:6">
      <c r="A51" s="144"/>
      <c r="B51" s="145"/>
      <c r="C51" s="145"/>
      <c r="D51" s="146"/>
      <c r="E51" s="146"/>
      <c r="F51" s="146"/>
    </row>
    <row r="52" spans="1:6">
      <c r="A52" s="144"/>
      <c r="B52" s="145"/>
      <c r="C52" s="145"/>
      <c r="D52" s="146"/>
      <c r="E52" s="146"/>
      <c r="F52" s="146"/>
    </row>
    <row r="53" spans="1:6">
      <c r="A53" s="144"/>
      <c r="B53" s="145"/>
      <c r="C53" s="145"/>
      <c r="D53" s="146"/>
      <c r="E53" s="146"/>
      <c r="F53" s="146"/>
    </row>
    <row r="54" spans="1:6">
      <c r="A54" s="144"/>
      <c r="D54" s="146"/>
      <c r="E54" s="146"/>
      <c r="F54" s="146"/>
    </row>
    <row r="55" spans="1:6">
      <c r="A55" s="144"/>
    </row>
    <row r="56" spans="1:6">
      <c r="A56" s="144"/>
    </row>
    <row r="57" spans="1:6">
      <c r="A57" s="144"/>
    </row>
    <row r="58" spans="1:6">
      <c r="A58" s="144"/>
    </row>
    <row r="59" spans="1:6">
      <c r="A59" s="144"/>
    </row>
    <row r="60" spans="1:6">
      <c r="A60" s="144"/>
    </row>
    <row r="61" spans="1:6">
      <c r="A61" s="144"/>
    </row>
    <row r="62" spans="1:6">
      <c r="A62" s="144"/>
    </row>
    <row r="63" spans="1:6">
      <c r="A63" s="144"/>
    </row>
    <row r="64" spans="1:6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4"/>
    </row>
    <row r="200" spans="1:1">
      <c r="A200" s="147"/>
    </row>
    <row r="201" spans="1:1">
      <c r="A201" s="147"/>
    </row>
    <row r="202" spans="1:1">
      <c r="A202" s="147"/>
    </row>
    <row r="203" spans="1:1">
      <c r="A203" s="147"/>
    </row>
    <row r="204" spans="1:1">
      <c r="A204" s="147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  <row r="269" spans="1:1">
      <c r="A269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D6708-1D52-4560-A75C-5FFE7D0D5D71}">
  <dimension ref="A1:G268"/>
  <sheetViews>
    <sheetView workbookViewId="0">
      <selection activeCell="E25" sqref="E25"/>
    </sheetView>
  </sheetViews>
  <sheetFormatPr defaultColWidth="8.88671875" defaultRowHeight="13.2"/>
  <cols>
    <col min="1" max="1" width="13.109375" style="132" customWidth="1"/>
    <col min="2" max="2" width="12" style="132" bestFit="1" customWidth="1"/>
    <col min="3" max="3" width="10.6640625" style="132" bestFit="1" customWidth="1"/>
    <col min="4" max="4" width="14.5546875" style="132" customWidth="1"/>
    <col min="5" max="16384" width="8.88671875" style="132"/>
  </cols>
  <sheetData>
    <row r="1" spans="1:7">
      <c r="A1" s="157" t="s">
        <v>149</v>
      </c>
      <c r="B1" s="157" t="s">
        <v>199</v>
      </c>
      <c r="C1" s="157" t="s">
        <v>200</v>
      </c>
      <c r="D1" s="143"/>
      <c r="E1" s="143"/>
    </row>
    <row r="2" spans="1:7">
      <c r="A2" s="142" t="s">
        <v>201</v>
      </c>
      <c r="B2" s="73">
        <v>30.14</v>
      </c>
      <c r="C2" s="73">
        <v>36.3125</v>
      </c>
      <c r="D2" s="73"/>
      <c r="E2" s="146"/>
      <c r="F2" s="146"/>
      <c r="G2" s="146"/>
    </row>
    <row r="3" spans="1:7">
      <c r="A3" s="142" t="s">
        <v>202</v>
      </c>
      <c r="B3" s="73">
        <v>30.62</v>
      </c>
      <c r="C3" s="73">
        <v>36.15</v>
      </c>
      <c r="D3" s="73"/>
      <c r="E3" s="146"/>
      <c r="F3" s="146"/>
      <c r="G3" s="146"/>
    </row>
    <row r="4" spans="1:7">
      <c r="A4" s="142" t="s">
        <v>203</v>
      </c>
      <c r="B4" s="73">
        <v>32.270000000000003</v>
      </c>
      <c r="C4" s="73">
        <v>38.0625</v>
      </c>
      <c r="D4" s="73"/>
      <c r="E4" s="146"/>
      <c r="F4" s="146"/>
      <c r="G4" s="146"/>
    </row>
    <row r="5" spans="1:7">
      <c r="A5" s="132" t="s">
        <v>204</v>
      </c>
      <c r="B5" s="73">
        <v>33.04</v>
      </c>
      <c r="C5" s="73">
        <v>37.9</v>
      </c>
      <c r="D5" s="73"/>
      <c r="E5" s="146"/>
      <c r="F5" s="146"/>
      <c r="G5" s="146"/>
    </row>
    <row r="6" spans="1:7">
      <c r="A6" s="142" t="s">
        <v>205</v>
      </c>
      <c r="B6" s="73">
        <v>30.26</v>
      </c>
      <c r="C6" s="73">
        <v>35.5</v>
      </c>
      <c r="D6" s="73"/>
      <c r="E6" s="146"/>
      <c r="F6" s="146"/>
      <c r="G6" s="146"/>
    </row>
    <row r="7" spans="1:7">
      <c r="A7" s="142" t="s">
        <v>206</v>
      </c>
      <c r="B7" s="73">
        <v>27.04</v>
      </c>
      <c r="C7" s="73">
        <v>32.875</v>
      </c>
      <c r="D7" s="73"/>
      <c r="E7" s="146"/>
      <c r="F7" s="146"/>
      <c r="G7" s="146"/>
    </row>
    <row r="8" spans="1:7">
      <c r="A8" s="142" t="s">
        <v>207</v>
      </c>
      <c r="B8" s="73">
        <v>25.69</v>
      </c>
      <c r="C8" s="73">
        <v>32.375</v>
      </c>
      <c r="D8" s="73"/>
      <c r="E8" s="146"/>
      <c r="F8" s="146"/>
      <c r="G8" s="146"/>
    </row>
    <row r="9" spans="1:7">
      <c r="A9" s="142" t="s">
        <v>208</v>
      </c>
      <c r="B9" s="73">
        <v>25.27</v>
      </c>
      <c r="C9" s="73">
        <v>32.4</v>
      </c>
      <c r="D9" s="73"/>
      <c r="E9" s="146"/>
      <c r="F9" s="146"/>
      <c r="G9" s="146"/>
    </row>
    <row r="10" spans="1:7">
      <c r="A10" s="142" t="s">
        <v>209</v>
      </c>
      <c r="B10" s="73">
        <v>26.61</v>
      </c>
      <c r="C10" s="73">
        <v>36.625</v>
      </c>
      <c r="D10" s="73"/>
      <c r="E10" s="146"/>
      <c r="F10" s="146"/>
      <c r="G10" s="146"/>
    </row>
    <row r="11" spans="1:7">
      <c r="A11" s="142" t="s">
        <v>210</v>
      </c>
      <c r="B11" s="73">
        <v>28.71</v>
      </c>
      <c r="C11" s="73">
        <v>40.5</v>
      </c>
      <c r="D11" s="73"/>
      <c r="E11" s="146"/>
      <c r="F11" s="146"/>
      <c r="G11" s="146"/>
    </row>
    <row r="12" spans="1:7">
      <c r="A12" s="142" t="s">
        <v>211</v>
      </c>
      <c r="B12" s="73">
        <v>32.130000000000003</v>
      </c>
      <c r="C12" s="73">
        <v>47.8125</v>
      </c>
      <c r="D12" s="73"/>
      <c r="E12" s="146"/>
      <c r="F12" s="146"/>
    </row>
    <row r="13" spans="1:7">
      <c r="A13" s="142" t="s">
        <v>212</v>
      </c>
      <c r="B13" s="73">
        <v>34.200000000000003</v>
      </c>
      <c r="C13" s="73">
        <v>47.9375</v>
      </c>
      <c r="D13" s="73"/>
      <c r="E13" s="146"/>
      <c r="F13" s="146"/>
    </row>
    <row r="14" spans="1:7">
      <c r="A14" s="142" t="s">
        <v>169</v>
      </c>
      <c r="B14" s="73">
        <v>33.909999999999997</v>
      </c>
      <c r="C14" s="73">
        <v>44.35</v>
      </c>
      <c r="D14" s="73"/>
      <c r="E14" s="146"/>
      <c r="F14" s="146"/>
    </row>
    <row r="15" spans="1:7">
      <c r="A15" s="142" t="s">
        <v>170</v>
      </c>
      <c r="B15" s="73">
        <v>37.79</v>
      </c>
      <c r="C15" s="73">
        <v>49.5</v>
      </c>
      <c r="D15" s="73"/>
      <c r="E15" s="146"/>
      <c r="F15" s="146"/>
    </row>
    <row r="16" spans="1:7">
      <c r="A16" s="142" t="s">
        <v>171</v>
      </c>
      <c r="B16" s="73">
        <v>40.85</v>
      </c>
      <c r="C16" s="73">
        <v>51.65</v>
      </c>
      <c r="D16" s="73"/>
      <c r="E16" s="146"/>
      <c r="F16" s="146"/>
    </row>
    <row r="17" spans="1:6">
      <c r="A17" s="142" t="s">
        <v>172</v>
      </c>
      <c r="B17" s="73">
        <v>44.31</v>
      </c>
      <c r="C17" s="73">
        <v>53.3125</v>
      </c>
      <c r="D17" s="73"/>
      <c r="E17" s="146"/>
      <c r="F17" s="146"/>
    </row>
    <row r="18" spans="1:6">
      <c r="A18" s="142" t="s">
        <v>173</v>
      </c>
      <c r="B18" s="73">
        <v>48.37</v>
      </c>
      <c r="C18" s="73">
        <v>58.9375</v>
      </c>
      <c r="D18" s="73"/>
      <c r="E18" s="146"/>
      <c r="F18" s="146"/>
    </row>
    <row r="19" spans="1:6">
      <c r="A19" s="142" t="s">
        <v>174</v>
      </c>
      <c r="B19" s="73">
        <v>54</v>
      </c>
      <c r="C19" s="73">
        <v>71.3125</v>
      </c>
      <c r="D19" s="73"/>
      <c r="E19" s="146"/>
      <c r="F19" s="146"/>
    </row>
    <row r="20" spans="1:6">
      <c r="A20" s="142" t="s">
        <v>175</v>
      </c>
      <c r="B20" s="73">
        <v>62.88</v>
      </c>
      <c r="C20" s="73">
        <v>79.55</v>
      </c>
      <c r="D20" s="73"/>
      <c r="E20" s="146"/>
      <c r="F20" s="146"/>
    </row>
    <row r="21" spans="1:6">
      <c r="A21" s="142" t="s">
        <v>176</v>
      </c>
      <c r="B21" s="73">
        <v>74.75</v>
      </c>
      <c r="C21" s="73">
        <v>94.0625</v>
      </c>
      <c r="D21" s="73"/>
      <c r="E21" s="146"/>
      <c r="F21" s="146"/>
    </row>
    <row r="22" spans="1:6">
      <c r="A22" s="142" t="s">
        <v>177</v>
      </c>
      <c r="B22" s="73">
        <v>74.75</v>
      </c>
      <c r="C22" s="73">
        <v>93.5</v>
      </c>
      <c r="D22" s="73"/>
      <c r="E22" s="146"/>
      <c r="F22" s="146"/>
    </row>
    <row r="23" spans="1:6">
      <c r="A23" s="142" t="s">
        <v>180</v>
      </c>
      <c r="B23" s="73">
        <v>72.930000000000007</v>
      </c>
      <c r="C23" s="73">
        <v>92.3</v>
      </c>
      <c r="D23" s="73"/>
      <c r="E23" s="146"/>
      <c r="F23" s="146"/>
    </row>
    <row r="24" spans="1:6">
      <c r="A24" s="142" t="s">
        <v>178</v>
      </c>
      <c r="B24" s="73">
        <v>70.010000000000005</v>
      </c>
      <c r="C24" s="73">
        <v>81</v>
      </c>
      <c r="D24" s="73"/>
      <c r="E24" s="146"/>
      <c r="F24" s="146"/>
    </row>
    <row r="25" spans="1:6">
      <c r="A25" s="142" t="s">
        <v>179</v>
      </c>
      <c r="B25" s="73">
        <v>65.930000000000007</v>
      </c>
      <c r="C25" s="73">
        <v>76</v>
      </c>
      <c r="D25" s="73"/>
      <c r="E25" s="146"/>
      <c r="F25" s="146"/>
    </row>
    <row r="26" spans="1:6">
      <c r="A26" s="142" t="s">
        <v>162</v>
      </c>
      <c r="B26" s="73">
        <v>70.42</v>
      </c>
      <c r="C26" s="73">
        <v>82.3</v>
      </c>
      <c r="D26" s="73"/>
      <c r="E26" s="146"/>
      <c r="F26" s="146"/>
    </row>
    <row r="27" spans="1:6">
      <c r="A27" s="142" t="s">
        <v>163</v>
      </c>
      <c r="B27" s="73">
        <v>66.459999999999994</v>
      </c>
      <c r="C27" s="73">
        <v>84.375</v>
      </c>
      <c r="D27" s="73"/>
      <c r="F27" s="146"/>
    </row>
    <row r="28" spans="1:6">
      <c r="A28" s="142" t="s">
        <v>164</v>
      </c>
      <c r="B28" s="73">
        <v>63.69</v>
      </c>
      <c r="C28" s="73">
        <v>82.95</v>
      </c>
      <c r="D28" s="73"/>
      <c r="E28" s="146"/>
      <c r="F28" s="146"/>
    </row>
    <row r="29" spans="1:6">
      <c r="A29" s="142" t="s">
        <v>165</v>
      </c>
      <c r="B29" s="73">
        <v>65.7</v>
      </c>
      <c r="C29" s="73">
        <v>88.5625</v>
      </c>
      <c r="D29" s="73"/>
      <c r="E29" s="146"/>
      <c r="F29" s="146"/>
    </row>
    <row r="30" spans="1:6">
      <c r="A30" s="142" t="s">
        <v>166</v>
      </c>
      <c r="B30" s="73">
        <v>70.91</v>
      </c>
      <c r="C30" s="73">
        <v>85.875</v>
      </c>
      <c r="D30" s="73"/>
      <c r="E30" s="146"/>
      <c r="F30" s="146"/>
    </row>
    <row r="31" spans="1:6">
      <c r="A31" s="142" t="s">
        <v>167</v>
      </c>
      <c r="B31" s="73">
        <v>76.405000000000001</v>
      </c>
      <c r="C31" s="73">
        <v>92</v>
      </c>
      <c r="D31" s="73"/>
      <c r="E31" s="146"/>
      <c r="F31" s="146"/>
    </row>
    <row r="32" spans="1:6">
      <c r="A32" s="142" t="s">
        <v>168</v>
      </c>
      <c r="B32" s="73">
        <v>83.846000000000004</v>
      </c>
      <c r="C32" s="73">
        <v>103.15</v>
      </c>
      <c r="D32" s="73"/>
      <c r="E32" s="146"/>
      <c r="F32" s="146"/>
    </row>
    <row r="33" spans="1:6">
      <c r="A33" s="142" t="s">
        <v>151</v>
      </c>
      <c r="B33" s="73">
        <v>87.385000000000005</v>
      </c>
      <c r="C33" s="73">
        <v>108.6875</v>
      </c>
      <c r="D33" s="73"/>
      <c r="E33" s="146"/>
      <c r="F33" s="146"/>
    </row>
    <row r="34" spans="1:6">
      <c r="A34" s="142" t="s">
        <v>152</v>
      </c>
      <c r="B34" s="73">
        <v>80.297499999999999</v>
      </c>
      <c r="C34" s="73">
        <v>102.25</v>
      </c>
      <c r="D34" s="73"/>
      <c r="E34" s="146"/>
      <c r="F34" s="146"/>
    </row>
    <row r="35" spans="1:6">
      <c r="A35" s="142" t="s">
        <v>153</v>
      </c>
      <c r="B35" s="73">
        <v>67.74799999999999</v>
      </c>
      <c r="C35" s="73">
        <v>87.9</v>
      </c>
      <c r="D35" s="73"/>
      <c r="E35" s="146"/>
      <c r="F35" s="146"/>
    </row>
    <row r="36" spans="1:6">
      <c r="A36" s="142" t="s">
        <v>154</v>
      </c>
      <c r="B36" s="73">
        <v>72.334999999999994</v>
      </c>
      <c r="C36" s="73">
        <v>91.3125</v>
      </c>
      <c r="D36" s="73"/>
      <c r="E36" s="146"/>
      <c r="F36" s="146"/>
    </row>
    <row r="37" spans="1:6">
      <c r="A37" s="142" t="s">
        <v>155</v>
      </c>
      <c r="B37" s="73">
        <v>70.626000000000005</v>
      </c>
      <c r="C37" s="73">
        <v>76.849999999999994</v>
      </c>
      <c r="D37" s="73"/>
      <c r="E37" s="146"/>
      <c r="F37" s="146"/>
    </row>
    <row r="38" spans="1:6">
      <c r="A38" s="142" t="s">
        <v>156</v>
      </c>
      <c r="B38" s="73">
        <v>72.67</v>
      </c>
      <c r="C38" s="73">
        <v>80.125</v>
      </c>
      <c r="D38" s="73"/>
      <c r="E38" s="146"/>
      <c r="F38" s="146"/>
    </row>
    <row r="39" spans="1:6">
      <c r="A39" s="142" t="s">
        <v>157</v>
      </c>
      <c r="B39" s="73">
        <v>79.180000000000007</v>
      </c>
      <c r="C39" s="73">
        <v>84.375</v>
      </c>
      <c r="D39" s="73"/>
      <c r="E39" s="146"/>
      <c r="F39" s="146"/>
    </row>
    <row r="40" spans="1:6">
      <c r="A40" s="142" t="s">
        <v>158</v>
      </c>
      <c r="B40" s="73">
        <v>68.14</v>
      </c>
      <c r="C40" s="73">
        <v>74.05</v>
      </c>
      <c r="D40" s="73"/>
      <c r="E40" s="146"/>
      <c r="F40" s="146"/>
    </row>
    <row r="41" spans="1:6">
      <c r="A41" s="142" t="s">
        <v>159</v>
      </c>
      <c r="B41" s="73">
        <v>66</v>
      </c>
      <c r="C41" s="73">
        <v>71.1875</v>
      </c>
      <c r="D41" s="73"/>
      <c r="E41" s="146"/>
      <c r="F41" s="146"/>
    </row>
    <row r="42" spans="1:6">
      <c r="A42" s="142" t="s">
        <v>160</v>
      </c>
      <c r="B42" s="73">
        <v>63.242500000000007</v>
      </c>
      <c r="C42" s="73">
        <v>68.25</v>
      </c>
      <c r="D42" s="73"/>
      <c r="E42" s="146"/>
      <c r="F42" s="146"/>
    </row>
    <row r="43" spans="1:6">
      <c r="A43" s="142" t="s">
        <v>213</v>
      </c>
      <c r="B43" s="73">
        <v>58.83</v>
      </c>
      <c r="C43" s="73">
        <v>64.599999999999994</v>
      </c>
      <c r="D43" s="73"/>
      <c r="E43" s="146"/>
      <c r="F43" s="146"/>
    </row>
    <row r="44" spans="1:6">
      <c r="A44" s="142" t="s">
        <v>214</v>
      </c>
      <c r="B44" s="73">
        <v>55.474999999999994</v>
      </c>
      <c r="C44" s="73">
        <v>62.625</v>
      </c>
      <c r="D44" s="73"/>
      <c r="E44" s="146"/>
      <c r="F44" s="146"/>
    </row>
    <row r="45" spans="1:6">
      <c r="A45" s="142"/>
      <c r="B45" s="145"/>
      <c r="C45" s="145"/>
      <c r="D45" s="146"/>
      <c r="E45" s="146"/>
      <c r="F45" s="146"/>
    </row>
    <row r="46" spans="1:6">
      <c r="A46" s="142"/>
      <c r="B46" s="145"/>
      <c r="C46" s="145"/>
      <c r="D46" s="146"/>
      <c r="E46" s="146"/>
      <c r="F46" s="146"/>
    </row>
    <row r="47" spans="1:6">
      <c r="A47" s="142"/>
      <c r="B47" s="145"/>
      <c r="C47" s="145"/>
      <c r="D47" s="146"/>
      <c r="E47" s="146"/>
      <c r="F47" s="146"/>
    </row>
    <row r="48" spans="1:6">
      <c r="A48" s="142"/>
      <c r="B48" s="145"/>
      <c r="C48" s="145"/>
      <c r="D48" s="146"/>
      <c r="E48" s="146"/>
      <c r="F48" s="146"/>
    </row>
    <row r="49" spans="1:6">
      <c r="A49" s="142"/>
      <c r="B49" s="145"/>
      <c r="C49" s="145"/>
      <c r="D49" s="146"/>
      <c r="E49" s="146"/>
      <c r="F49" s="146"/>
    </row>
    <row r="50" spans="1:6">
      <c r="A50" s="142"/>
      <c r="B50" s="145"/>
      <c r="C50" s="145"/>
      <c r="D50" s="146"/>
      <c r="E50" s="146"/>
      <c r="F50" s="146"/>
    </row>
    <row r="51" spans="1:6">
      <c r="A51" s="142"/>
      <c r="B51" s="145"/>
      <c r="C51" s="145"/>
      <c r="D51" s="146"/>
      <c r="E51" s="146"/>
      <c r="F51" s="146"/>
    </row>
    <row r="52" spans="1:6">
      <c r="A52" s="142"/>
      <c r="B52" s="145"/>
      <c r="C52" s="145"/>
      <c r="D52" s="146"/>
      <c r="E52" s="146"/>
      <c r="F52" s="146"/>
    </row>
    <row r="53" spans="1:6">
      <c r="A53" s="142"/>
      <c r="D53" s="146"/>
      <c r="E53" s="146"/>
      <c r="F53" s="146"/>
    </row>
    <row r="54" spans="1:6">
      <c r="A54" s="142"/>
    </row>
    <row r="55" spans="1:6">
      <c r="A55" s="142"/>
    </row>
    <row r="56" spans="1:6">
      <c r="A56" s="142"/>
    </row>
    <row r="57" spans="1:6">
      <c r="A57" s="142"/>
    </row>
    <row r="58" spans="1:6">
      <c r="A58" s="142"/>
    </row>
    <row r="59" spans="1:6">
      <c r="A59" s="144"/>
    </row>
    <row r="60" spans="1:6">
      <c r="A60" s="144"/>
    </row>
    <row r="61" spans="1:6">
      <c r="A61" s="144"/>
    </row>
    <row r="62" spans="1:6">
      <c r="A62" s="144"/>
    </row>
    <row r="63" spans="1:6">
      <c r="A63" s="144"/>
    </row>
    <row r="64" spans="1:6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  <row r="85" spans="1:1">
      <c r="A85" s="144"/>
    </row>
    <row r="86" spans="1:1">
      <c r="A86" s="144"/>
    </row>
    <row r="87" spans="1:1">
      <c r="A87" s="144"/>
    </row>
    <row r="88" spans="1:1">
      <c r="A88" s="144"/>
    </row>
    <row r="89" spans="1:1">
      <c r="A89" s="144"/>
    </row>
    <row r="90" spans="1:1">
      <c r="A90" s="144"/>
    </row>
    <row r="91" spans="1:1">
      <c r="A91" s="144"/>
    </row>
    <row r="92" spans="1:1">
      <c r="A92" s="144"/>
    </row>
    <row r="93" spans="1:1">
      <c r="A93" s="144"/>
    </row>
    <row r="94" spans="1:1">
      <c r="A94" s="144"/>
    </row>
    <row r="95" spans="1:1">
      <c r="A95" s="144"/>
    </row>
    <row r="96" spans="1:1">
      <c r="A96" s="144"/>
    </row>
    <row r="97" spans="1:1">
      <c r="A97" s="144"/>
    </row>
    <row r="98" spans="1:1">
      <c r="A98" s="144"/>
    </row>
    <row r="99" spans="1:1">
      <c r="A99" s="144"/>
    </row>
    <row r="100" spans="1:1">
      <c r="A100" s="144"/>
    </row>
    <row r="101" spans="1:1">
      <c r="A101" s="144"/>
    </row>
    <row r="102" spans="1:1">
      <c r="A102" s="144"/>
    </row>
    <row r="103" spans="1:1">
      <c r="A103" s="144"/>
    </row>
    <row r="104" spans="1:1">
      <c r="A104" s="144"/>
    </row>
    <row r="105" spans="1:1">
      <c r="A105" s="144"/>
    </row>
    <row r="106" spans="1:1">
      <c r="A106" s="144"/>
    </row>
    <row r="107" spans="1:1">
      <c r="A107" s="144"/>
    </row>
    <row r="108" spans="1:1">
      <c r="A108" s="144"/>
    </row>
    <row r="109" spans="1:1">
      <c r="A109" s="144"/>
    </row>
    <row r="110" spans="1:1">
      <c r="A110" s="144"/>
    </row>
    <row r="111" spans="1:1">
      <c r="A111" s="144"/>
    </row>
    <row r="112" spans="1:1">
      <c r="A112" s="144"/>
    </row>
    <row r="113" spans="1:1">
      <c r="A113" s="144"/>
    </row>
    <row r="114" spans="1:1">
      <c r="A114" s="144"/>
    </row>
    <row r="115" spans="1:1">
      <c r="A115" s="144"/>
    </row>
    <row r="116" spans="1:1">
      <c r="A116" s="144"/>
    </row>
    <row r="117" spans="1:1">
      <c r="A117" s="144"/>
    </row>
    <row r="118" spans="1:1">
      <c r="A118" s="144"/>
    </row>
    <row r="119" spans="1:1">
      <c r="A119" s="144"/>
    </row>
    <row r="120" spans="1:1">
      <c r="A120" s="144"/>
    </row>
    <row r="121" spans="1:1">
      <c r="A121" s="144"/>
    </row>
    <row r="122" spans="1:1">
      <c r="A122" s="144"/>
    </row>
    <row r="123" spans="1:1">
      <c r="A123" s="144"/>
    </row>
    <row r="124" spans="1:1">
      <c r="A124" s="144"/>
    </row>
    <row r="125" spans="1:1">
      <c r="A125" s="144"/>
    </row>
    <row r="126" spans="1:1">
      <c r="A126" s="144"/>
    </row>
    <row r="127" spans="1:1">
      <c r="A127" s="144"/>
    </row>
    <row r="128" spans="1:1">
      <c r="A128" s="144"/>
    </row>
    <row r="129" spans="1:1">
      <c r="A129" s="144"/>
    </row>
    <row r="130" spans="1:1">
      <c r="A130" s="144"/>
    </row>
    <row r="131" spans="1:1">
      <c r="A131" s="144"/>
    </row>
    <row r="132" spans="1:1">
      <c r="A132" s="144"/>
    </row>
    <row r="133" spans="1:1">
      <c r="A133" s="144"/>
    </row>
    <row r="134" spans="1:1">
      <c r="A134" s="144"/>
    </row>
    <row r="135" spans="1:1">
      <c r="A135" s="144"/>
    </row>
    <row r="136" spans="1:1">
      <c r="A136" s="144"/>
    </row>
    <row r="137" spans="1:1">
      <c r="A137" s="144"/>
    </row>
    <row r="138" spans="1:1">
      <c r="A138" s="144"/>
    </row>
    <row r="139" spans="1:1">
      <c r="A139" s="144"/>
    </row>
    <row r="140" spans="1:1">
      <c r="A140" s="144"/>
    </row>
    <row r="141" spans="1:1">
      <c r="A141" s="144"/>
    </row>
    <row r="142" spans="1:1">
      <c r="A142" s="144"/>
    </row>
    <row r="143" spans="1:1">
      <c r="A143" s="144"/>
    </row>
    <row r="144" spans="1:1">
      <c r="A144" s="144"/>
    </row>
    <row r="145" spans="1:1">
      <c r="A145" s="144"/>
    </row>
    <row r="146" spans="1:1">
      <c r="A146" s="144"/>
    </row>
    <row r="147" spans="1:1">
      <c r="A147" s="144"/>
    </row>
    <row r="148" spans="1:1">
      <c r="A148" s="144"/>
    </row>
    <row r="149" spans="1:1">
      <c r="A149" s="144"/>
    </row>
    <row r="150" spans="1:1">
      <c r="A150" s="144"/>
    </row>
    <row r="151" spans="1:1">
      <c r="A151" s="144"/>
    </row>
    <row r="152" spans="1:1">
      <c r="A152" s="144"/>
    </row>
    <row r="153" spans="1:1">
      <c r="A153" s="144"/>
    </row>
    <row r="154" spans="1:1">
      <c r="A154" s="144"/>
    </row>
    <row r="155" spans="1:1">
      <c r="A155" s="144"/>
    </row>
    <row r="156" spans="1:1">
      <c r="A156" s="144"/>
    </row>
    <row r="157" spans="1:1">
      <c r="A157" s="144"/>
    </row>
    <row r="158" spans="1:1">
      <c r="A158" s="144"/>
    </row>
    <row r="159" spans="1:1">
      <c r="A159" s="144"/>
    </row>
    <row r="160" spans="1:1">
      <c r="A160" s="144"/>
    </row>
    <row r="161" spans="1:1">
      <c r="A161" s="144"/>
    </row>
    <row r="162" spans="1:1">
      <c r="A162" s="144"/>
    </row>
    <row r="163" spans="1:1">
      <c r="A163" s="144"/>
    </row>
    <row r="164" spans="1:1">
      <c r="A164" s="144"/>
    </row>
    <row r="165" spans="1:1">
      <c r="A165" s="144"/>
    </row>
    <row r="166" spans="1:1">
      <c r="A166" s="144"/>
    </row>
    <row r="167" spans="1:1">
      <c r="A167" s="144"/>
    </row>
    <row r="168" spans="1:1">
      <c r="A168" s="144"/>
    </row>
    <row r="169" spans="1:1">
      <c r="A169" s="144"/>
    </row>
    <row r="170" spans="1:1">
      <c r="A170" s="144"/>
    </row>
    <row r="171" spans="1:1">
      <c r="A171" s="144"/>
    </row>
    <row r="172" spans="1:1">
      <c r="A172" s="144"/>
    </row>
    <row r="173" spans="1:1">
      <c r="A173" s="144"/>
    </row>
    <row r="174" spans="1:1">
      <c r="A174" s="144"/>
    </row>
    <row r="175" spans="1:1">
      <c r="A175" s="144"/>
    </row>
    <row r="176" spans="1:1">
      <c r="A176" s="144"/>
    </row>
    <row r="177" spans="1:1">
      <c r="A177" s="144"/>
    </row>
    <row r="178" spans="1:1">
      <c r="A178" s="144"/>
    </row>
    <row r="179" spans="1:1">
      <c r="A179" s="144"/>
    </row>
    <row r="180" spans="1:1">
      <c r="A180" s="144"/>
    </row>
    <row r="181" spans="1:1">
      <c r="A181" s="144"/>
    </row>
    <row r="182" spans="1:1">
      <c r="A182" s="144"/>
    </row>
    <row r="183" spans="1:1">
      <c r="A183" s="144"/>
    </row>
    <row r="184" spans="1:1">
      <c r="A184" s="144"/>
    </row>
    <row r="185" spans="1:1">
      <c r="A185" s="144"/>
    </row>
    <row r="186" spans="1:1">
      <c r="A186" s="144"/>
    </row>
    <row r="187" spans="1:1">
      <c r="A187" s="144"/>
    </row>
    <row r="188" spans="1:1">
      <c r="A188" s="144"/>
    </row>
    <row r="189" spans="1:1">
      <c r="A189" s="144"/>
    </row>
    <row r="190" spans="1:1">
      <c r="A190" s="144"/>
    </row>
    <row r="191" spans="1:1">
      <c r="A191" s="144"/>
    </row>
    <row r="192" spans="1:1">
      <c r="A192" s="144"/>
    </row>
    <row r="193" spans="1:1">
      <c r="A193" s="144"/>
    </row>
    <row r="194" spans="1:1">
      <c r="A194" s="144"/>
    </row>
    <row r="195" spans="1:1">
      <c r="A195" s="144"/>
    </row>
    <row r="196" spans="1:1">
      <c r="A196" s="144"/>
    </row>
    <row r="197" spans="1:1">
      <c r="A197" s="144"/>
    </row>
    <row r="198" spans="1:1">
      <c r="A198" s="144"/>
    </row>
    <row r="199" spans="1:1">
      <c r="A199" s="147"/>
    </row>
    <row r="200" spans="1:1">
      <c r="A200" s="147"/>
    </row>
    <row r="201" spans="1:1">
      <c r="A201" s="147"/>
    </row>
    <row r="202" spans="1:1">
      <c r="A202" s="147"/>
    </row>
    <row r="203" spans="1:1">
      <c r="A203" s="147"/>
    </row>
    <row r="204" spans="1:1">
      <c r="A204" s="144"/>
    </row>
    <row r="205" spans="1:1">
      <c r="A205" s="144"/>
    </row>
    <row r="206" spans="1:1">
      <c r="A206" s="144"/>
    </row>
    <row r="207" spans="1:1">
      <c r="A207" s="144"/>
    </row>
    <row r="208" spans="1:1">
      <c r="A208" s="144"/>
    </row>
    <row r="209" spans="1:1">
      <c r="A209" s="144"/>
    </row>
    <row r="210" spans="1:1">
      <c r="A210" s="144"/>
    </row>
    <row r="211" spans="1:1">
      <c r="A211" s="144"/>
    </row>
    <row r="212" spans="1:1">
      <c r="A212" s="144"/>
    </row>
    <row r="213" spans="1:1">
      <c r="A213" s="144"/>
    </row>
    <row r="214" spans="1:1">
      <c r="A214" s="144"/>
    </row>
    <row r="215" spans="1:1">
      <c r="A215" s="144"/>
    </row>
    <row r="216" spans="1:1">
      <c r="A216" s="144"/>
    </row>
    <row r="217" spans="1:1">
      <c r="A217" s="144"/>
    </row>
    <row r="218" spans="1:1">
      <c r="A218" s="144"/>
    </row>
    <row r="219" spans="1:1">
      <c r="A219" s="144"/>
    </row>
    <row r="220" spans="1:1">
      <c r="A220" s="144"/>
    </row>
    <row r="221" spans="1:1">
      <c r="A221" s="144"/>
    </row>
    <row r="222" spans="1:1">
      <c r="A222" s="144"/>
    </row>
    <row r="223" spans="1:1">
      <c r="A223" s="144"/>
    </row>
    <row r="224" spans="1:1">
      <c r="A224" s="144"/>
    </row>
    <row r="225" spans="1:1">
      <c r="A225" s="144"/>
    </row>
    <row r="226" spans="1:1">
      <c r="A226" s="144"/>
    </row>
    <row r="227" spans="1:1">
      <c r="A227" s="144"/>
    </row>
    <row r="228" spans="1:1">
      <c r="A228" s="144"/>
    </row>
    <row r="229" spans="1:1">
      <c r="A229" s="144"/>
    </row>
    <row r="230" spans="1:1">
      <c r="A230" s="144"/>
    </row>
    <row r="231" spans="1:1">
      <c r="A231" s="144"/>
    </row>
    <row r="232" spans="1:1">
      <c r="A232" s="144"/>
    </row>
    <row r="233" spans="1:1">
      <c r="A233" s="144"/>
    </row>
    <row r="234" spans="1:1">
      <c r="A234" s="144"/>
    </row>
    <row r="235" spans="1:1">
      <c r="A235" s="144"/>
    </row>
    <row r="236" spans="1:1">
      <c r="A236" s="144"/>
    </row>
    <row r="237" spans="1:1">
      <c r="A237" s="144"/>
    </row>
    <row r="238" spans="1:1">
      <c r="A238" s="144"/>
    </row>
    <row r="239" spans="1:1">
      <c r="A239" s="144"/>
    </row>
    <row r="240" spans="1:1">
      <c r="A240" s="144"/>
    </row>
    <row r="241" spans="1:1">
      <c r="A241" s="144"/>
    </row>
    <row r="242" spans="1:1">
      <c r="A242" s="144"/>
    </row>
    <row r="243" spans="1:1">
      <c r="A243" s="144"/>
    </row>
    <row r="244" spans="1:1">
      <c r="A244" s="144"/>
    </row>
    <row r="245" spans="1:1">
      <c r="A245" s="144"/>
    </row>
    <row r="246" spans="1:1">
      <c r="A246" s="144"/>
    </row>
    <row r="247" spans="1:1">
      <c r="A247" s="144"/>
    </row>
    <row r="248" spans="1:1">
      <c r="A248" s="144"/>
    </row>
    <row r="249" spans="1:1">
      <c r="A249" s="144"/>
    </row>
    <row r="250" spans="1:1">
      <c r="A250" s="144"/>
    </row>
    <row r="251" spans="1:1">
      <c r="A251" s="144"/>
    </row>
    <row r="252" spans="1:1">
      <c r="A252" s="144"/>
    </row>
    <row r="253" spans="1:1">
      <c r="A253" s="144"/>
    </row>
    <row r="254" spans="1:1">
      <c r="A254" s="144"/>
    </row>
    <row r="255" spans="1:1">
      <c r="A255" s="144"/>
    </row>
    <row r="256" spans="1:1">
      <c r="A256" s="144"/>
    </row>
    <row r="257" spans="1:1">
      <c r="A257" s="144"/>
    </row>
    <row r="258" spans="1:1">
      <c r="A258" s="144"/>
    </row>
    <row r="259" spans="1:1">
      <c r="A259" s="144"/>
    </row>
    <row r="260" spans="1:1">
      <c r="A260" s="144"/>
    </row>
    <row r="261" spans="1:1">
      <c r="A261" s="144"/>
    </row>
    <row r="262" spans="1:1">
      <c r="A262" s="144"/>
    </row>
    <row r="263" spans="1:1">
      <c r="A263" s="144"/>
    </row>
    <row r="264" spans="1:1">
      <c r="A264" s="144"/>
    </row>
    <row r="265" spans="1:1">
      <c r="A265" s="144"/>
    </row>
    <row r="266" spans="1:1">
      <c r="A266" s="144"/>
    </row>
    <row r="267" spans="1:1">
      <c r="A267" s="144"/>
    </row>
    <row r="268" spans="1:1">
      <c r="A268" s="14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AD51-59A3-4831-95C6-B45DD1D625AC}">
  <dimension ref="A1:D38"/>
  <sheetViews>
    <sheetView zoomScaleNormal="100" workbookViewId="0">
      <pane xSplit="1" ySplit="2" topLeftCell="B3" activePane="bottomRight" state="frozen"/>
      <selection activeCell="R22" sqref="R22"/>
      <selection pane="topRight" activeCell="R22" sqref="R22"/>
      <selection pane="bottomLeft" activeCell="R22" sqref="R22"/>
      <selection pane="bottomRight" activeCell="K34" sqref="K34"/>
    </sheetView>
  </sheetViews>
  <sheetFormatPr defaultColWidth="9.109375" defaultRowHeight="13.2"/>
  <cols>
    <col min="1" max="1" width="17" style="132" customWidth="1"/>
    <col min="2" max="2" width="21.33203125" style="132" customWidth="1"/>
    <col min="3" max="3" width="20.44140625" style="132" customWidth="1"/>
    <col min="4" max="4" width="15.33203125" style="132" customWidth="1"/>
    <col min="5" max="16384" width="9.109375" style="132"/>
  </cols>
  <sheetData>
    <row r="1" spans="1:4">
      <c r="B1" s="128" t="s">
        <v>216</v>
      </c>
      <c r="C1" s="133"/>
      <c r="D1" s="133"/>
    </row>
    <row r="2" spans="1:4" ht="26.4">
      <c r="A2" s="160" t="s">
        <v>217</v>
      </c>
      <c r="B2" s="135" t="s">
        <v>222</v>
      </c>
      <c r="C2" s="135" t="s">
        <v>223</v>
      </c>
      <c r="D2" s="135" t="s">
        <v>224</v>
      </c>
    </row>
    <row r="3" spans="1:4">
      <c r="A3" s="159">
        <v>2002</v>
      </c>
      <c r="B3" s="137">
        <v>244.83333333333334</v>
      </c>
      <c r="C3" s="136">
        <v>286.16666666666669</v>
      </c>
      <c r="D3" s="137">
        <v>284.58333333333331</v>
      </c>
    </row>
    <row r="4" spans="1:4">
      <c r="A4" s="159">
        <v>2003</v>
      </c>
      <c r="B4" s="137">
        <v>322.75</v>
      </c>
      <c r="C4" s="136">
        <v>320.75</v>
      </c>
      <c r="D4" s="137">
        <v>317.25</v>
      </c>
    </row>
    <row r="5" spans="1:4">
      <c r="A5" s="159">
        <v>2004</v>
      </c>
      <c r="B5" s="137">
        <v>276.91666666666669</v>
      </c>
      <c r="C5" s="137">
        <v>313</v>
      </c>
      <c r="D5" s="137">
        <v>261.91666666666669</v>
      </c>
    </row>
    <row r="6" spans="1:4">
      <c r="A6" s="159">
        <v>2005</v>
      </c>
      <c r="B6" s="137">
        <v>260.91666666666669</v>
      </c>
      <c r="C6" s="137">
        <v>291.41666666666669</v>
      </c>
      <c r="D6" s="137">
        <v>291.91666666666669</v>
      </c>
    </row>
    <row r="7" spans="1:4">
      <c r="A7" s="159">
        <v>2006</v>
      </c>
      <c r="B7" s="137">
        <v>335.41666666666669</v>
      </c>
      <c r="C7" s="136">
        <v>401.16666666666669</v>
      </c>
      <c r="D7" s="137">
        <v>375.16666666666669</v>
      </c>
    </row>
    <row r="8" spans="1:4">
      <c r="A8" s="159">
        <v>2007</v>
      </c>
      <c r="B8" s="137">
        <v>549.66666666666663</v>
      </c>
      <c r="C8" s="136">
        <v>745.25</v>
      </c>
      <c r="D8" s="137">
        <v>643.58333333333337</v>
      </c>
    </row>
    <row r="9" spans="1:4">
      <c r="A9" s="159">
        <v>2008</v>
      </c>
      <c r="B9" s="137">
        <v>420.83333333333331</v>
      </c>
      <c r="C9" s="136">
        <v>363.66666666666669</v>
      </c>
      <c r="D9" s="137">
        <v>392.83333333333331</v>
      </c>
    </row>
    <row r="10" spans="1:4">
      <c r="A10" s="159">
        <v>2009</v>
      </c>
      <c r="B10" s="137">
        <v>429.16666666666669</v>
      </c>
      <c r="C10" s="136">
        <v>451.91666666666669</v>
      </c>
      <c r="D10" s="137">
        <v>419.25</v>
      </c>
    </row>
    <row r="11" spans="1:4">
      <c r="A11" s="159">
        <v>2010</v>
      </c>
      <c r="B11" s="137">
        <v>549.25</v>
      </c>
      <c r="C11" s="136">
        <v>661.16666666666663</v>
      </c>
      <c r="D11" s="137">
        <v>647.25</v>
      </c>
    </row>
    <row r="12" spans="1:4">
      <c r="A12" s="159">
        <v>2011</v>
      </c>
      <c r="B12" s="137">
        <v>562.25</v>
      </c>
      <c r="C12" s="137">
        <v>592.58333333333337</v>
      </c>
      <c r="D12" s="137">
        <v>616.08333333333337</v>
      </c>
    </row>
    <row r="13" spans="1:4">
      <c r="A13" s="159">
        <v>2012</v>
      </c>
      <c r="B13" s="137">
        <v>557.16666666666663</v>
      </c>
      <c r="C13" s="137">
        <v>580.25</v>
      </c>
      <c r="D13" s="137">
        <v>578.5</v>
      </c>
    </row>
    <row r="14" spans="1:4">
      <c r="A14" s="159">
        <v>2013</v>
      </c>
      <c r="B14" s="137">
        <v>520.66666666666663</v>
      </c>
      <c r="C14" s="136">
        <v>466.08333333333331</v>
      </c>
      <c r="D14" s="137">
        <v>504.5</v>
      </c>
    </row>
    <row r="15" spans="1:4">
      <c r="A15" s="159">
        <v>2014</v>
      </c>
      <c r="B15" s="137">
        <v>407.08333333333331</v>
      </c>
      <c r="C15" s="136">
        <v>431.66666666666669</v>
      </c>
      <c r="D15" s="137">
        <v>416.83333333333331</v>
      </c>
    </row>
    <row r="16" spans="1:4">
      <c r="A16" s="159">
        <v>2015</v>
      </c>
      <c r="B16" s="137">
        <v>395.75</v>
      </c>
      <c r="C16" s="136">
        <v>439.75</v>
      </c>
      <c r="D16" s="137">
        <v>409.41666666666669</v>
      </c>
    </row>
    <row r="17" spans="1:4">
      <c r="A17" s="159">
        <v>2016</v>
      </c>
      <c r="B17" s="137">
        <v>403.58333333333331</v>
      </c>
      <c r="C17" s="136">
        <v>407.58333333333331</v>
      </c>
      <c r="D17" s="137">
        <v>431.58333333333331</v>
      </c>
    </row>
    <row r="18" spans="1:4">
      <c r="A18" s="159">
        <v>2017</v>
      </c>
      <c r="B18" s="137">
        <v>403.41666666666669</v>
      </c>
      <c r="C18" s="136">
        <v>402.75</v>
      </c>
      <c r="D18" s="137">
        <v>424.66666666666669</v>
      </c>
    </row>
    <row r="19" spans="1:4">
      <c r="A19" s="159">
        <v>2018</v>
      </c>
      <c r="B19" s="137">
        <v>369.91666666666669</v>
      </c>
      <c r="C19" s="137">
        <v>380.08333333333331</v>
      </c>
      <c r="D19" s="137">
        <v>419.91666666666669</v>
      </c>
    </row>
    <row r="20" spans="1:4">
      <c r="A20" s="159">
        <v>2019</v>
      </c>
      <c r="B20" s="137">
        <v>379.83333333333331</v>
      </c>
      <c r="C20" s="137">
        <v>420</v>
      </c>
      <c r="D20" s="137">
        <v>432.75</v>
      </c>
    </row>
    <row r="21" spans="1:4">
      <c r="A21" s="159">
        <v>2020</v>
      </c>
      <c r="B21" s="137">
        <v>563.25</v>
      </c>
      <c r="C21" s="136">
        <v>684.66666666666663</v>
      </c>
      <c r="D21" s="137">
        <v>593.66666666666663</v>
      </c>
    </row>
    <row r="22" spans="1:4">
      <c r="A22" s="159">
        <v>2021</v>
      </c>
      <c r="B22" s="137">
        <v>639.66666666666663</v>
      </c>
      <c r="C22" s="136">
        <v>762.58333333333337</v>
      </c>
      <c r="D22" s="137">
        <v>822.08333333333337</v>
      </c>
    </row>
    <row r="23" spans="1:4">
      <c r="A23" s="159" t="s">
        <v>218</v>
      </c>
      <c r="B23" s="137">
        <v>621</v>
      </c>
      <c r="C23" s="136">
        <v>581.28571428571433</v>
      </c>
      <c r="D23" s="137">
        <v>580.57142857142856</v>
      </c>
    </row>
    <row r="24" spans="1:4">
      <c r="A24" s="159"/>
      <c r="B24" s="136"/>
      <c r="C24" s="136"/>
      <c r="D24" s="137"/>
    </row>
    <row r="25" spans="1:4">
      <c r="A25" s="134"/>
      <c r="B25" s="136"/>
      <c r="C25" s="136"/>
      <c r="D25" s="137"/>
    </row>
    <row r="26" spans="1:4">
      <c r="A26" s="134"/>
      <c r="B26" s="137"/>
      <c r="C26" s="137"/>
      <c r="D26" s="137"/>
    </row>
    <row r="27" spans="1:4">
      <c r="A27" s="134"/>
      <c r="B27" s="137"/>
      <c r="C27" s="137"/>
      <c r="D27" s="137"/>
    </row>
    <row r="28" spans="1:4">
      <c r="A28" s="134"/>
      <c r="B28" s="136"/>
      <c r="C28" s="136"/>
      <c r="D28" s="137"/>
    </row>
    <row r="29" spans="1:4">
      <c r="A29" s="134"/>
      <c r="B29" s="136"/>
      <c r="C29" s="136"/>
      <c r="D29" s="137"/>
    </row>
    <row r="30" spans="1:4">
      <c r="A30" s="134"/>
      <c r="B30" s="136"/>
      <c r="C30" s="136"/>
      <c r="D30" s="137"/>
    </row>
    <row r="31" spans="1:4">
      <c r="A31" s="134"/>
      <c r="B31" s="136"/>
      <c r="C31" s="136"/>
      <c r="D31" s="137"/>
    </row>
    <row r="32" spans="1:4">
      <c r="A32" s="134"/>
      <c r="B32" s="136"/>
      <c r="C32" s="136"/>
      <c r="D32" s="137"/>
    </row>
    <row r="33" spans="1:4">
      <c r="A33" s="134"/>
      <c r="B33" s="137"/>
      <c r="C33" s="137"/>
      <c r="D33" s="137"/>
    </row>
    <row r="35" spans="1:4">
      <c r="B35" s="137"/>
      <c r="C35" s="137"/>
      <c r="D35" s="137"/>
    </row>
    <row r="36" spans="1:4">
      <c r="B36" s="137"/>
      <c r="C36" s="137"/>
      <c r="D36" s="137"/>
    </row>
    <row r="37" spans="1:4">
      <c r="B37" s="137"/>
      <c r="C37" s="137"/>
    </row>
    <row r="38" spans="1:4">
      <c r="B38" s="138"/>
      <c r="C38" s="13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99BA-B265-490B-9FD3-060B5B03D007}">
  <dimension ref="A1:I34"/>
  <sheetViews>
    <sheetView zoomScaleNormal="100" workbookViewId="0"/>
  </sheetViews>
  <sheetFormatPr defaultColWidth="9.109375" defaultRowHeight="13.2"/>
  <cols>
    <col min="1" max="1" width="12.6640625" style="113" bestFit="1" customWidth="1"/>
    <col min="2" max="2" width="12.6640625" style="113" customWidth="1"/>
    <col min="3" max="3" width="12.33203125" style="113" customWidth="1"/>
    <col min="4" max="4" width="13.77734375" style="113" customWidth="1"/>
    <col min="5" max="5" width="19.21875" style="113" customWidth="1"/>
    <col min="6" max="6" width="13.6640625" style="113" customWidth="1"/>
    <col min="7" max="16384" width="9.109375" style="113"/>
  </cols>
  <sheetData>
    <row r="1" spans="1:9" ht="26.4">
      <c r="A1" s="119" t="s">
        <v>148</v>
      </c>
      <c r="B1" s="119" t="s">
        <v>219</v>
      </c>
      <c r="C1" s="119" t="s">
        <v>220</v>
      </c>
      <c r="D1" s="119" t="s">
        <v>199</v>
      </c>
      <c r="E1" s="119" t="s">
        <v>221</v>
      </c>
      <c r="F1" s="119" t="s">
        <v>225</v>
      </c>
      <c r="G1" s="149"/>
    </row>
    <row r="2" spans="1:9">
      <c r="A2" s="126" t="s">
        <v>106</v>
      </c>
      <c r="B2" s="139">
        <v>9.4749999999999996</v>
      </c>
      <c r="C2" s="139">
        <v>3.3290000000000002</v>
      </c>
      <c r="D2" s="140">
        <v>4.2990000000000004</v>
      </c>
      <c r="E2" s="140">
        <v>3.0459999999999998</v>
      </c>
      <c r="F2" s="140">
        <v>3.0640000000000001</v>
      </c>
      <c r="G2" s="151"/>
      <c r="H2" s="151"/>
      <c r="I2" s="141"/>
    </row>
    <row r="3" spans="1:9">
      <c r="A3" s="126" t="s">
        <v>107</v>
      </c>
      <c r="B3" s="139">
        <v>9.4670000000000005</v>
      </c>
      <c r="C3" s="139">
        <v>4.9470000000000001</v>
      </c>
      <c r="D3" s="140">
        <v>4.2679999999999998</v>
      </c>
      <c r="E3" s="140">
        <v>2.2599999999999998</v>
      </c>
      <c r="F3" s="140">
        <v>2.3319999999999999</v>
      </c>
      <c r="G3" s="141"/>
      <c r="H3" s="151"/>
      <c r="I3" s="141"/>
    </row>
    <row r="4" spans="1:9">
      <c r="A4" s="126" t="s">
        <v>108</v>
      </c>
      <c r="B4" s="139">
        <v>9.6120000000000001</v>
      </c>
      <c r="C4" s="139">
        <v>6.274</v>
      </c>
      <c r="D4" s="140">
        <v>3.9729999999999999</v>
      </c>
      <c r="E4" s="140">
        <v>2.9350000000000001</v>
      </c>
      <c r="F4" s="140">
        <v>2.649</v>
      </c>
      <c r="G4" s="141"/>
      <c r="H4" s="151"/>
      <c r="I4" s="141"/>
    </row>
    <row r="5" spans="1:9">
      <c r="A5" s="126" t="s">
        <v>109</v>
      </c>
      <c r="B5" s="139">
        <v>10.843999999999999</v>
      </c>
      <c r="C5" s="139">
        <v>6.6790000000000003</v>
      </c>
      <c r="D5" s="140">
        <v>4.556</v>
      </c>
      <c r="E5" s="140">
        <v>2.5430000000000001</v>
      </c>
      <c r="F5" s="140">
        <v>2.1309999999999998</v>
      </c>
      <c r="G5" s="141"/>
      <c r="H5" s="151"/>
      <c r="I5" s="141"/>
    </row>
    <row r="6" spans="1:9">
      <c r="A6" s="126" t="s">
        <v>110</v>
      </c>
      <c r="B6" s="139">
        <v>8.7899999999999991</v>
      </c>
      <c r="C6" s="139">
        <v>5.6989999999999998</v>
      </c>
      <c r="D6" s="140">
        <v>4.0220000000000002</v>
      </c>
      <c r="E6" s="140">
        <v>2.0459999999999998</v>
      </c>
      <c r="F6" s="140">
        <v>2.3860000000000001</v>
      </c>
      <c r="G6" s="141"/>
      <c r="H6" s="151"/>
      <c r="I6" s="141"/>
    </row>
    <row r="7" spans="1:9">
      <c r="A7" s="120" t="s">
        <v>111</v>
      </c>
      <c r="B7" s="139">
        <v>10.218</v>
      </c>
      <c r="C7" s="139">
        <v>4.2430000000000003</v>
      </c>
      <c r="D7" s="140">
        <v>4.2370000000000001</v>
      </c>
      <c r="E7" s="140">
        <v>2.6030000000000002</v>
      </c>
      <c r="F7" s="140">
        <v>2.222</v>
      </c>
      <c r="G7" s="141"/>
      <c r="H7" s="151"/>
      <c r="I7" s="141"/>
    </row>
    <row r="8" spans="1:9">
      <c r="A8" s="120" t="s">
        <v>112</v>
      </c>
      <c r="B8" s="139">
        <v>12.929</v>
      </c>
      <c r="C8" s="139">
        <v>3.39</v>
      </c>
      <c r="D8" s="140">
        <v>4.34</v>
      </c>
      <c r="E8" s="140">
        <v>2.6059999999999999</v>
      </c>
      <c r="F8" s="140">
        <v>3.306</v>
      </c>
      <c r="G8" s="141"/>
      <c r="H8" s="151"/>
      <c r="I8" s="141"/>
    </row>
    <row r="9" spans="1:9">
      <c r="A9" s="120" t="s">
        <v>113</v>
      </c>
      <c r="B9" s="139">
        <v>14.951000000000001</v>
      </c>
      <c r="C9" s="139">
        <v>2.9830000000000001</v>
      </c>
      <c r="D9" s="140">
        <v>4.7560000000000002</v>
      </c>
      <c r="E9" s="140">
        <v>2.3420000000000001</v>
      </c>
      <c r="F9" s="140">
        <v>3.2519999999999998</v>
      </c>
      <c r="G9" s="141"/>
      <c r="H9" s="151"/>
      <c r="I9" s="141"/>
    </row>
    <row r="10" spans="1:9">
      <c r="A10" s="120" t="s">
        <v>114</v>
      </c>
      <c r="B10" s="139">
        <v>15.755000000000001</v>
      </c>
      <c r="C10" s="139">
        <v>2.859</v>
      </c>
      <c r="D10" s="140">
        <v>5.37</v>
      </c>
      <c r="E10" s="140">
        <v>2.786</v>
      </c>
      <c r="F10" s="140">
        <v>3.2480000000000002</v>
      </c>
      <c r="G10" s="141"/>
      <c r="H10" s="151"/>
      <c r="I10" s="141"/>
    </row>
    <row r="11" spans="1:9">
      <c r="A11" s="120" t="s">
        <v>34</v>
      </c>
      <c r="B11" s="139">
        <v>15.189</v>
      </c>
      <c r="C11" s="139">
        <v>3.48</v>
      </c>
      <c r="D11" s="140">
        <v>5.3609999999999998</v>
      </c>
      <c r="E11" s="140">
        <v>1.84</v>
      </c>
      <c r="F11" s="140">
        <v>2.8149999999999999</v>
      </c>
      <c r="G11" s="141"/>
      <c r="H11" s="151"/>
      <c r="I11" s="141"/>
    </row>
    <row r="12" spans="1:9">
      <c r="A12" s="117" t="s">
        <v>37</v>
      </c>
      <c r="B12" s="139">
        <v>16.32</v>
      </c>
      <c r="C12" s="139">
        <v>2.6749999999999998</v>
      </c>
      <c r="D12" s="140">
        <v>4.67</v>
      </c>
      <c r="E12" s="140">
        <v>2.581</v>
      </c>
      <c r="F12" s="140">
        <v>2.8530000000000002</v>
      </c>
      <c r="G12" s="141"/>
      <c r="I12" s="141"/>
    </row>
    <row r="13" spans="1:9">
      <c r="A13" s="117" t="s">
        <v>196</v>
      </c>
      <c r="B13" s="139">
        <v>16.916</v>
      </c>
      <c r="C13" s="139">
        <v>3.0049999999999999</v>
      </c>
      <c r="D13" s="140">
        <v>4.5579999999999998</v>
      </c>
      <c r="E13" s="140">
        <v>3.0739999999999998</v>
      </c>
      <c r="F13" s="140">
        <v>2.4980000000000002</v>
      </c>
      <c r="G13" s="141"/>
      <c r="I13" s="141"/>
    </row>
    <row r="14" spans="1:9">
      <c r="A14" s="117" t="s">
        <v>150</v>
      </c>
      <c r="B14" s="139">
        <v>16.521999999999998</v>
      </c>
      <c r="C14" s="139">
        <v>3.3330000000000002</v>
      </c>
      <c r="D14" s="140">
        <v>5.28</v>
      </c>
      <c r="E14" s="140">
        <v>2.8540000000000001</v>
      </c>
      <c r="F14" s="140">
        <v>2.601</v>
      </c>
      <c r="G14" s="141"/>
    </row>
    <row r="15" spans="1:9">
      <c r="C15" s="139"/>
      <c r="D15" s="139"/>
      <c r="E15" s="139"/>
      <c r="F15" s="139"/>
      <c r="G15" s="150"/>
    </row>
    <row r="16" spans="1:9">
      <c r="C16" s="139"/>
      <c r="D16" s="139"/>
      <c r="E16" s="139"/>
      <c r="F16" s="139"/>
      <c r="G16" s="150"/>
    </row>
    <row r="17" spans="3:7">
      <c r="C17" s="139"/>
      <c r="D17" s="139"/>
      <c r="E17" s="139"/>
      <c r="F17" s="139"/>
      <c r="G17" s="150"/>
    </row>
    <row r="18" spans="3:7">
      <c r="C18" s="139"/>
      <c r="D18" s="139"/>
      <c r="E18" s="139"/>
      <c r="F18" s="139"/>
      <c r="G18" s="150"/>
    </row>
    <row r="19" spans="3:7">
      <c r="C19" s="139"/>
      <c r="D19" s="139"/>
      <c r="E19" s="139"/>
      <c r="F19" s="139"/>
      <c r="G19" s="150"/>
    </row>
    <row r="20" spans="3:7">
      <c r="C20" s="139"/>
      <c r="D20" s="139"/>
      <c r="E20" s="139"/>
      <c r="F20" s="139"/>
      <c r="G20" s="150"/>
    </row>
    <row r="21" spans="3:7">
      <c r="C21" s="139"/>
      <c r="D21" s="139"/>
      <c r="E21" s="139"/>
      <c r="F21" s="139"/>
      <c r="G21" s="150"/>
    </row>
    <row r="22" spans="3:7">
      <c r="C22" s="139"/>
      <c r="D22" s="139"/>
      <c r="E22" s="139"/>
      <c r="F22" s="139"/>
      <c r="G22" s="150"/>
    </row>
    <row r="23" spans="3:7">
      <c r="C23" s="139"/>
      <c r="D23" s="139"/>
      <c r="E23" s="139"/>
      <c r="F23" s="139"/>
      <c r="G23" s="150"/>
    </row>
    <row r="24" spans="3:7">
      <c r="C24" s="139"/>
      <c r="D24" s="139"/>
      <c r="E24" s="139"/>
      <c r="F24" s="139"/>
      <c r="G24" s="150"/>
    </row>
    <row r="25" spans="3:7">
      <c r="C25" s="139"/>
      <c r="D25" s="139"/>
      <c r="E25" s="139"/>
      <c r="F25" s="139"/>
      <c r="G25" s="150"/>
    </row>
    <row r="26" spans="3:7">
      <c r="C26" s="139"/>
      <c r="D26" s="139"/>
      <c r="E26" s="139"/>
      <c r="F26" s="139"/>
      <c r="G26" s="150"/>
    </row>
    <row r="27" spans="3:7">
      <c r="C27" s="130"/>
      <c r="E27" s="130"/>
    </row>
    <row r="28" spans="3:7">
      <c r="C28" s="130"/>
      <c r="E28" s="130"/>
    </row>
    <row r="29" spans="3:7">
      <c r="C29" s="130"/>
      <c r="E29" s="130"/>
    </row>
    <row r="30" spans="3:7">
      <c r="C30" s="130"/>
      <c r="E30" s="130"/>
    </row>
    <row r="31" spans="3:7">
      <c r="C31" s="130"/>
      <c r="E31" s="130"/>
    </row>
    <row r="32" spans="3:7">
      <c r="C32" s="130"/>
      <c r="E32" s="130"/>
    </row>
    <row r="33" spans="3:3">
      <c r="C33" s="130"/>
    </row>
    <row r="34" spans="3:3">
      <c r="C34" s="130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9"/>
  <sheetViews>
    <sheetView showGridLines="0" zoomScale="70" zoomScaleNormal="70" workbookViewId="0"/>
  </sheetViews>
  <sheetFormatPr defaultColWidth="9.109375" defaultRowHeight="13.2"/>
  <cols>
    <col min="1" max="1" width="21.6640625" customWidth="1"/>
    <col min="2" max="2" width="14.109375" bestFit="1" customWidth="1"/>
    <col min="3" max="3" width="9.5546875" customWidth="1"/>
    <col min="4" max="4" width="26.6640625" customWidth="1"/>
    <col min="5" max="5" width="9.6640625" customWidth="1"/>
    <col min="6" max="6" width="10.6640625" customWidth="1"/>
    <col min="7" max="7" width="8.6640625" bestFit="1" customWidth="1"/>
    <col min="8" max="8" width="9.6640625" customWidth="1"/>
    <col min="9" max="9" width="1.6640625" customWidth="1"/>
    <col min="10" max="10" width="12.44140625" customWidth="1"/>
    <col min="11" max="12" width="10.6640625" customWidth="1"/>
    <col min="13" max="13" width="10.33203125" customWidth="1"/>
    <col min="14" max="14" width="9.6640625" customWidth="1"/>
    <col min="17" max="17" width="15.44140625" bestFit="1" customWidth="1"/>
    <col min="18" max="18" width="10.109375" bestFit="1" customWidth="1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6"/>
      <c r="B2" s="17" t="s">
        <v>13</v>
      </c>
      <c r="C2" s="124"/>
      <c r="D2" s="18" t="s">
        <v>14</v>
      </c>
      <c r="E2" s="19"/>
      <c r="F2" s="124" t="s">
        <v>15</v>
      </c>
      <c r="G2" s="124"/>
      <c r="H2" s="124"/>
      <c r="I2" s="16"/>
      <c r="J2" s="19"/>
      <c r="K2" s="124"/>
      <c r="L2" s="20" t="s">
        <v>16</v>
      </c>
      <c r="M2" s="124"/>
      <c r="N2" s="16"/>
    </row>
    <row r="3" spans="1:23" ht="13.8">
      <c r="A3" s="16" t="s">
        <v>17</v>
      </c>
      <c r="B3" s="18" t="s">
        <v>18</v>
      </c>
      <c r="C3" s="16" t="s">
        <v>19</v>
      </c>
      <c r="D3" s="18"/>
      <c r="E3" s="21" t="s">
        <v>20</v>
      </c>
      <c r="F3" s="21"/>
      <c r="G3" s="21"/>
      <c r="H3" s="21"/>
      <c r="I3" s="21"/>
      <c r="J3" s="18" t="s">
        <v>21</v>
      </c>
      <c r="K3" s="21" t="s">
        <v>22</v>
      </c>
      <c r="L3" s="21"/>
      <c r="M3" s="21"/>
      <c r="N3" s="21" t="s">
        <v>23</v>
      </c>
    </row>
    <row r="4" spans="1:23" ht="13.8">
      <c r="A4" s="22" t="s">
        <v>24</v>
      </c>
      <c r="B4" s="23"/>
      <c r="C4" s="23"/>
      <c r="D4" s="23"/>
      <c r="E4" s="24" t="s">
        <v>25</v>
      </c>
      <c r="F4" s="24" t="s">
        <v>26</v>
      </c>
      <c r="G4" s="25" t="s">
        <v>27</v>
      </c>
      <c r="H4" s="26" t="s">
        <v>28</v>
      </c>
      <c r="I4" s="25"/>
      <c r="J4" s="25"/>
      <c r="K4" s="25" t="s">
        <v>29</v>
      </c>
      <c r="L4" s="26" t="s">
        <v>30</v>
      </c>
      <c r="M4" s="24" t="s">
        <v>28</v>
      </c>
      <c r="N4" s="25" t="s">
        <v>25</v>
      </c>
      <c r="W4" s="27"/>
    </row>
    <row r="5" spans="1:23" ht="14.4">
      <c r="A5" s="16"/>
      <c r="B5" s="28" t="s">
        <v>31</v>
      </c>
      <c r="C5" s="125"/>
      <c r="D5" s="29" t="s">
        <v>32</v>
      </c>
      <c r="G5" s="28"/>
      <c r="I5" s="28"/>
      <c r="J5" s="28" t="s">
        <v>33</v>
      </c>
      <c r="K5" s="28"/>
      <c r="L5" s="28"/>
      <c r="M5" s="28"/>
      <c r="N5" s="28"/>
      <c r="W5" s="27"/>
    </row>
    <row r="6" spans="1:23" ht="16.5" customHeight="1">
      <c r="A6" s="16" t="s">
        <v>37</v>
      </c>
      <c r="B6" s="30">
        <v>87.194999999999993</v>
      </c>
      <c r="C6" s="30">
        <v>86.311999999999998</v>
      </c>
      <c r="D6" s="30">
        <f>F6/C6</f>
        <v>51.735355454629712</v>
      </c>
      <c r="E6" s="31">
        <v>256.97899999999998</v>
      </c>
      <c r="F6" s="32">
        <f>F27</f>
        <v>4465.3819999999996</v>
      </c>
      <c r="G6" s="33">
        <f>G27</f>
        <v>15.9101740464</v>
      </c>
      <c r="H6" s="33">
        <f>SUM(E6:G6)</f>
        <v>4738.2711740464001</v>
      </c>
      <c r="I6" s="16"/>
      <c r="J6" s="32">
        <f>J27</f>
        <v>2203.8901705391709</v>
      </c>
      <c r="K6" s="32">
        <f t="shared" ref="K6:K8" si="0">M6-L6-J6</f>
        <v>102.34031607682891</v>
      </c>
      <c r="L6" s="33">
        <f>L27</f>
        <v>2157.6466874304001</v>
      </c>
      <c r="M6" s="33">
        <f>H6-N6</f>
        <v>4463.8771740463999</v>
      </c>
      <c r="N6" s="33">
        <f>N26</f>
        <v>274.39400000000001</v>
      </c>
    </row>
    <row r="7" spans="1:23" ht="16.5" customHeight="1">
      <c r="A7" s="16" t="s">
        <v>188</v>
      </c>
      <c r="B7" s="30">
        <v>87.45</v>
      </c>
      <c r="C7" s="30">
        <v>86.335999999999999</v>
      </c>
      <c r="D7" s="30">
        <f>F7/C7</f>
        <v>49.528852390659743</v>
      </c>
      <c r="E7" s="31">
        <f>N6</f>
        <v>274.39400000000001</v>
      </c>
      <c r="F7" s="32">
        <v>4276.1229999999996</v>
      </c>
      <c r="G7" s="33">
        <v>20</v>
      </c>
      <c r="H7" s="33">
        <f>SUM(E7:G7)</f>
        <v>4570.5169999999998</v>
      </c>
      <c r="I7" s="16"/>
      <c r="J7" s="32">
        <v>2220</v>
      </c>
      <c r="K7" s="32">
        <f t="shared" si="0"/>
        <v>120.27800000000025</v>
      </c>
      <c r="L7" s="33">
        <v>2015</v>
      </c>
      <c r="M7" s="33">
        <f>H7-N7</f>
        <v>4355.2780000000002</v>
      </c>
      <c r="N7" s="33">
        <v>215.239</v>
      </c>
    </row>
    <row r="8" spans="1:23" ht="16.5" customHeight="1">
      <c r="A8" s="16" t="s">
        <v>187</v>
      </c>
      <c r="B8" s="30">
        <v>87.504999999999995</v>
      </c>
      <c r="C8" s="30">
        <v>86.7</v>
      </c>
      <c r="D8" s="30">
        <f>F8/C8</f>
        <v>52.018454440599768</v>
      </c>
      <c r="E8" s="31">
        <f>N7</f>
        <v>215.239</v>
      </c>
      <c r="F8" s="32">
        <v>4510</v>
      </c>
      <c r="G8" s="33">
        <v>20</v>
      </c>
      <c r="H8" s="33">
        <f>SUM(E8:G8)</f>
        <v>4745.2389999999996</v>
      </c>
      <c r="I8" s="16"/>
      <c r="J8" s="32">
        <v>2310</v>
      </c>
      <c r="K8" s="32">
        <f t="shared" si="0"/>
        <v>125.23899999999958</v>
      </c>
      <c r="L8" s="33">
        <v>1975</v>
      </c>
      <c r="M8" s="33">
        <f>H8-N8</f>
        <v>4410.2389999999996</v>
      </c>
      <c r="N8" s="33">
        <v>335</v>
      </c>
    </row>
    <row r="9" spans="1:23" ht="16.5" customHeight="1">
      <c r="A9" s="16"/>
      <c r="B9" s="16"/>
      <c r="C9" s="16"/>
      <c r="D9" s="16"/>
      <c r="E9" s="34"/>
      <c r="F9" s="34"/>
      <c r="G9" s="35"/>
      <c r="H9" s="34"/>
      <c r="I9" s="34"/>
      <c r="J9" s="35"/>
      <c r="K9" s="35"/>
      <c r="L9" s="35"/>
      <c r="M9" s="35"/>
      <c r="N9" s="35"/>
    </row>
    <row r="10" spans="1:23" ht="16.5" customHeight="1">
      <c r="A10" s="36" t="s">
        <v>37</v>
      </c>
      <c r="B10" s="106"/>
      <c r="C10" s="106"/>
      <c r="D10" s="106"/>
      <c r="E10" s="38"/>
      <c r="F10" s="39"/>
      <c r="G10" s="6"/>
      <c r="H10" s="13"/>
      <c r="I10" s="106"/>
      <c r="J10" s="13"/>
      <c r="K10" s="37"/>
      <c r="L10" s="6"/>
      <c r="M10" s="6"/>
      <c r="N10" s="13"/>
    </row>
    <row r="11" spans="1:23" ht="16.5" customHeight="1">
      <c r="A11" s="16" t="s">
        <v>38</v>
      </c>
      <c r="B11" s="106"/>
      <c r="C11" s="106"/>
      <c r="D11" s="111"/>
      <c r="E11" s="38"/>
      <c r="F11" s="39"/>
      <c r="G11" s="6">
        <f>(24488.6*36.744)/1000000</f>
        <v>0.89980911839999989</v>
      </c>
      <c r="I11" s="106"/>
      <c r="J11" s="13">
        <f>((4924574*0.907185)*36.744)/1000000</f>
        <v>164.15380766099736</v>
      </c>
      <c r="K11" s="37"/>
      <c r="L11" s="6">
        <f>(2098690.6*36.744)/1000000</f>
        <v>77.11428740640001</v>
      </c>
      <c r="M11" s="6"/>
      <c r="N11" s="13"/>
      <c r="Q11" s="111"/>
    </row>
    <row r="12" spans="1:23" ht="16.5" customHeight="1">
      <c r="A12" s="16" t="s">
        <v>39</v>
      </c>
      <c r="B12" s="106"/>
      <c r="C12" s="106"/>
      <c r="D12" s="111"/>
      <c r="E12" s="38"/>
      <c r="F12" s="39"/>
      <c r="G12" s="6">
        <f>(19229.4*36.744)/1000000</f>
        <v>0.70656507359999998</v>
      </c>
      <c r="I12" s="106"/>
      <c r="J12" s="13">
        <f>((5908157*0.907185)*36.744)/1000000</f>
        <v>196.9401754972055</v>
      </c>
      <c r="K12" s="37"/>
      <c r="L12" s="6">
        <f>(10749625.7*36.744)/1000000</f>
        <v>394.9842467208</v>
      </c>
      <c r="M12" s="6"/>
      <c r="N12" s="13"/>
      <c r="Q12" s="111"/>
    </row>
    <row r="13" spans="1:23" ht="16.5" customHeight="1">
      <c r="A13" s="16" t="s">
        <v>40</v>
      </c>
      <c r="B13" s="106"/>
      <c r="C13" s="106"/>
      <c r="D13" s="111"/>
      <c r="E13" s="38"/>
      <c r="F13" s="39"/>
      <c r="G13" s="6">
        <f>(34894.1*36.744)/1000000</f>
        <v>1.2821488103999998</v>
      </c>
      <c r="I13" s="106"/>
      <c r="J13" s="13">
        <f>((5717943*0.907185)*36.744)/1000000</f>
        <v>190.59965703399854</v>
      </c>
      <c r="K13" s="37"/>
      <c r="L13" s="6">
        <f>(10581460.9*36.744)/1000000</f>
        <v>388.80519930959997</v>
      </c>
      <c r="M13" s="6"/>
      <c r="N13" s="13"/>
      <c r="Q13" s="111"/>
    </row>
    <row r="14" spans="1:23" ht="16.5" customHeight="1">
      <c r="A14" s="16" t="s">
        <v>41</v>
      </c>
      <c r="B14" s="106"/>
      <c r="C14" s="106"/>
      <c r="E14" s="38">
        <f>E6</f>
        <v>256.97899999999998</v>
      </c>
      <c r="F14" s="38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06"/>
      <c r="J14" s="13">
        <f>SUM(J11:J13)</f>
        <v>551.69364019220143</v>
      </c>
      <c r="K14" s="37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6" t="s">
        <v>42</v>
      </c>
      <c r="B15" s="106"/>
      <c r="C15" s="106"/>
      <c r="D15" s="111"/>
      <c r="E15" s="38"/>
      <c r="F15" s="38"/>
      <c r="G15" s="6">
        <f>(27884.8*36.744)/1000000</f>
        <v>1.0245990912</v>
      </c>
      <c r="H15" s="13"/>
      <c r="I15" s="106"/>
      <c r="J15" s="13">
        <f>((5947222*0.907185)*36.744)/1000000</f>
        <v>198.24235280153209</v>
      </c>
      <c r="K15" s="37"/>
      <c r="L15" s="6">
        <f>(7940701.7*36.744)/1000000</f>
        <v>291.77314326480001</v>
      </c>
      <c r="M15" s="6"/>
      <c r="N15" s="13"/>
      <c r="Q15" s="111"/>
    </row>
    <row r="16" spans="1:23" ht="16.5" customHeight="1">
      <c r="A16" s="16" t="s">
        <v>43</v>
      </c>
      <c r="B16" s="106"/>
      <c r="C16" s="106"/>
      <c r="D16" s="111"/>
      <c r="E16" s="38"/>
      <c r="F16" s="38"/>
      <c r="G16" s="6">
        <f>(23947.4*36.744)/1000000</f>
        <v>0.8799232656</v>
      </c>
      <c r="H16" s="13"/>
      <c r="I16" s="106"/>
      <c r="J16" s="13">
        <f>((5828974*0.907185)*36.744)/1000000</f>
        <v>194.30072060181334</v>
      </c>
      <c r="K16" s="37"/>
      <c r="L16" s="6">
        <f>(6392108.3*36.744)/1000000</f>
        <v>234.87162737520001</v>
      </c>
      <c r="M16" s="6"/>
      <c r="N16" s="13"/>
      <c r="Q16" s="111"/>
    </row>
    <row r="17" spans="1:17" ht="16.5" customHeight="1">
      <c r="A17" s="16" t="s">
        <v>44</v>
      </c>
      <c r="B17" s="106"/>
      <c r="C17" s="106"/>
      <c r="D17" s="111"/>
      <c r="E17" s="38"/>
      <c r="F17" s="38"/>
      <c r="G17" s="6">
        <f>(47248.7*36.744)/1000000</f>
        <v>1.7361062327999999</v>
      </c>
      <c r="H17" s="13"/>
      <c r="I17" s="106"/>
      <c r="J17" s="13">
        <f>((5232453*0.907185)*36.744)/1000000</f>
        <v>174.41652483183492</v>
      </c>
      <c r="K17" s="37"/>
      <c r="L17" s="6">
        <f>(3791255.7*36.744)/1000000</f>
        <v>139.3058994408</v>
      </c>
      <c r="M17" s="6"/>
      <c r="N17" s="13"/>
      <c r="Q17" s="111"/>
    </row>
    <row r="18" spans="1:17" ht="16.5" customHeight="1">
      <c r="A18" s="16" t="s">
        <v>45</v>
      </c>
      <c r="B18" s="106"/>
      <c r="C18" s="106"/>
      <c r="E18" s="38">
        <f>N14</f>
        <v>3136.5239999999999</v>
      </c>
      <c r="F18" s="38"/>
      <c r="G18" s="6">
        <f>SUM(G15:G17)</f>
        <v>3.6406285895999999</v>
      </c>
      <c r="H18" s="13">
        <f>E18+F18+G18</f>
        <v>3140.1646285895999</v>
      </c>
      <c r="I18" s="106"/>
      <c r="J18" s="13">
        <f>SUM(J15:J17)</f>
        <v>566.95959823518035</v>
      </c>
      <c r="K18" s="37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  <c r="P18" s="40"/>
    </row>
    <row r="19" spans="1:17" ht="16.5" customHeight="1">
      <c r="A19" s="16" t="s">
        <v>46</v>
      </c>
      <c r="B19" s="106"/>
      <c r="C19" s="106"/>
      <c r="D19" s="111"/>
      <c r="E19" s="38"/>
      <c r="F19" s="38"/>
      <c r="G19" s="6">
        <f>(33665.9*36.744)/1000000</f>
        <v>1.2370198296000001</v>
      </c>
      <c r="H19" s="13"/>
      <c r="I19" s="106"/>
      <c r="J19" s="13">
        <f>((5786159*0.907185)*36.744)/1000000</f>
        <v>192.87354227633676</v>
      </c>
      <c r="K19" s="37"/>
      <c r="L19" s="6">
        <f>(3184420.8*36.744)/1000000</f>
        <v>117.00835787519999</v>
      </c>
      <c r="M19" s="6"/>
      <c r="N19" s="13"/>
      <c r="Q19" s="111"/>
    </row>
    <row r="20" spans="1:17" ht="16.5" customHeight="1">
      <c r="A20" s="16" t="s">
        <v>47</v>
      </c>
      <c r="B20" s="106"/>
      <c r="C20" s="106"/>
      <c r="D20" s="111"/>
      <c r="E20" s="38"/>
      <c r="F20" s="38"/>
      <c r="G20" s="6">
        <f>(49190.6*36.744)/1000000</f>
        <v>1.8074594064</v>
      </c>
      <c r="H20" s="13"/>
      <c r="I20" s="106"/>
      <c r="J20" s="13">
        <f>((5426712*0.907185)*36.744)/1000000</f>
        <v>180.89187772985568</v>
      </c>
      <c r="K20" s="37"/>
      <c r="L20" s="6">
        <f>(3657248.5*36.744)/1000000</f>
        <v>134.38193888399999</v>
      </c>
      <c r="M20" s="6"/>
      <c r="N20" s="13"/>
      <c r="Q20" s="111"/>
    </row>
    <row r="21" spans="1:17" ht="16.5" customHeight="1">
      <c r="A21" s="16" t="s">
        <v>48</v>
      </c>
      <c r="B21" s="106"/>
      <c r="C21" s="106"/>
      <c r="D21" s="111"/>
      <c r="E21" s="38"/>
      <c r="F21" s="38"/>
      <c r="G21" s="6">
        <f>(30553.6*36.744)/1000000</f>
        <v>1.1226614784</v>
      </c>
      <c r="H21" s="13"/>
      <c r="I21" s="106"/>
      <c r="J21" s="13">
        <f>((5427160*0.907185)*36.744)/1000000</f>
        <v>180.90681118518239</v>
      </c>
      <c r="K21" s="37"/>
      <c r="L21" s="6">
        <f>(2413962.6*36.744)/1000000</f>
        <v>88.698641774400002</v>
      </c>
      <c r="M21" s="6"/>
      <c r="N21" s="13"/>
      <c r="Q21" s="111"/>
    </row>
    <row r="22" spans="1:17" ht="16.5" customHeight="1">
      <c r="A22" s="16" t="s">
        <v>49</v>
      </c>
      <c r="B22" s="106"/>
      <c r="C22" s="106"/>
      <c r="E22" s="38">
        <f>N18</f>
        <v>1931.817</v>
      </c>
      <c r="F22" s="38"/>
      <c r="G22" s="6">
        <f>SUM(G19:G21)</f>
        <v>4.1671407144000003</v>
      </c>
      <c r="H22" s="13">
        <f>E22+F22+G22</f>
        <v>1935.9841407143999</v>
      </c>
      <c r="I22" s="106"/>
      <c r="J22" s="13">
        <f>SUM(J19:J21)</f>
        <v>554.67223119137486</v>
      </c>
      <c r="K22" s="37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6" t="s">
        <v>50</v>
      </c>
      <c r="B23" s="106"/>
      <c r="C23" s="106"/>
      <c r="E23" s="38"/>
      <c r="F23" s="38"/>
      <c r="G23" s="6">
        <f>(21134.8*36.744)/1000000</f>
        <v>0.77657709120000007</v>
      </c>
      <c r="H23" s="13"/>
      <c r="I23" s="106"/>
      <c r="J23" s="13">
        <f>((5222412*0.907185)*36.744)/1000000</f>
        <v>174.08182209760369</v>
      </c>
      <c r="K23" s="37"/>
      <c r="L23" s="6">
        <f>(2271040.2*36.744)/1000000</f>
        <v>83.447101108800013</v>
      </c>
      <c r="M23" s="6"/>
      <c r="N23" s="13"/>
    </row>
    <row r="24" spans="1:17" ht="16.5" customHeight="1">
      <c r="A24" s="16" t="s">
        <v>51</v>
      </c>
      <c r="B24" s="106"/>
      <c r="C24" s="106"/>
      <c r="E24" s="38"/>
      <c r="F24" s="38"/>
      <c r="G24" s="6">
        <f>(60079*36.744)/1000000</f>
        <v>2.2075427759999999</v>
      </c>
      <c r="H24" s="13"/>
      <c r="I24" s="106"/>
      <c r="J24" s="13">
        <f>((5441780*0.907185)*36.744)/1000000</f>
        <v>181.39414849963919</v>
      </c>
      <c r="K24" s="37"/>
      <c r="L24" s="6">
        <f>(2323087.5*36.744)/1000000</f>
        <v>85.359527099999994</v>
      </c>
      <c r="M24" s="6"/>
      <c r="N24" s="13"/>
    </row>
    <row r="25" spans="1:17" ht="16.5" customHeight="1">
      <c r="A25" s="16" t="s">
        <v>52</v>
      </c>
      <c r="B25" s="106"/>
      <c r="C25" s="106"/>
      <c r="E25" s="38"/>
      <c r="F25" s="38"/>
      <c r="G25" s="6">
        <f>(60683.8*36.744)/1000000</f>
        <v>2.2297655472</v>
      </c>
      <c r="H25" s="13"/>
      <c r="I25" s="106"/>
      <c r="J25" s="13">
        <f>((5252619*0.907185)*36.744)/1000000</f>
        <v>175.08873032317118</v>
      </c>
      <c r="K25" s="37"/>
      <c r="L25" s="6">
        <f>(3317459.2*36.744)/1000000</f>
        <v>121.89672084480002</v>
      </c>
      <c r="M25" s="6"/>
      <c r="N25" s="13"/>
    </row>
    <row r="26" spans="1:17" ht="16.5" customHeight="1">
      <c r="A26" s="16" t="s">
        <v>53</v>
      </c>
      <c r="B26" s="106"/>
      <c r="C26" s="106"/>
      <c r="E26" s="38">
        <f>N22</f>
        <v>967.52499999999998</v>
      </c>
      <c r="F26" s="38"/>
      <c r="G26" s="6">
        <f>SUM(G23:G25)</f>
        <v>5.2138854144</v>
      </c>
      <c r="H26" s="13">
        <f>E26+F26+G26</f>
        <v>972.73888541439999</v>
      </c>
      <c r="I26" s="106"/>
      <c r="J26" s="13">
        <f>SUM(J23:J25)</f>
        <v>530.564700920414</v>
      </c>
      <c r="K26" s="37">
        <f>M26-L26-J26</f>
        <v>-122.92316455961407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</row>
    <row r="27" spans="1:17" ht="16.5" customHeight="1">
      <c r="A27" s="16" t="s">
        <v>28</v>
      </c>
      <c r="B27" s="106"/>
      <c r="C27" s="106"/>
      <c r="D27" s="106"/>
      <c r="E27" s="38"/>
      <c r="F27" s="38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06"/>
      <c r="J27" s="13">
        <f>SUM(J14,J18,J22,J26)</f>
        <v>2203.8901705391709</v>
      </c>
      <c r="K27" s="37">
        <f>SUM(K14,K18,K22,K26)</f>
        <v>102.34031607682891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16"/>
      <c r="B28" s="106"/>
      <c r="C28" s="106"/>
      <c r="D28" s="106"/>
      <c r="E28" s="38"/>
      <c r="F28" s="38"/>
      <c r="G28" s="6"/>
      <c r="H28" s="13"/>
      <c r="I28" s="106"/>
      <c r="J28" s="13"/>
      <c r="K28" s="37"/>
      <c r="L28" s="6"/>
      <c r="M28" s="6"/>
      <c r="N28" s="13"/>
    </row>
    <row r="29" spans="1:17" ht="16.5" customHeight="1">
      <c r="A29" s="36" t="s">
        <v>54</v>
      </c>
      <c r="B29" s="106"/>
      <c r="C29" s="106"/>
      <c r="D29" s="106"/>
      <c r="E29" s="38"/>
      <c r="F29" s="38"/>
      <c r="G29" s="6"/>
      <c r="H29" s="13"/>
      <c r="I29" s="106"/>
      <c r="J29" s="13"/>
      <c r="K29" s="37"/>
      <c r="L29" s="6"/>
      <c r="M29" s="6"/>
      <c r="N29" s="13"/>
    </row>
    <row r="30" spans="1:17" ht="16.5" customHeight="1">
      <c r="A30" s="16" t="s">
        <v>38</v>
      </c>
      <c r="B30" s="106"/>
      <c r="C30" s="106"/>
      <c r="D30" s="106"/>
      <c r="E30" s="38"/>
      <c r="F30" s="38"/>
      <c r="G30" s="6">
        <f>(31760.9*36.744)/1000000</f>
        <v>1.1670225096</v>
      </c>
      <c r="H30" s="13"/>
      <c r="I30" s="106"/>
      <c r="J30" s="6">
        <f>((5028287*0.907185)*36.744)/1000000</f>
        <v>167.6109359027387</v>
      </c>
      <c r="K30" s="37"/>
      <c r="L30" s="6">
        <f>(2122949.2*36.744)/1000000</f>
        <v>78.005645404800006</v>
      </c>
      <c r="M30" s="6"/>
      <c r="N30" s="13"/>
    </row>
    <row r="31" spans="1:17" ht="16.5" customHeight="1">
      <c r="A31" s="16" t="s">
        <v>39</v>
      </c>
      <c r="B31" s="106"/>
      <c r="C31" s="106"/>
      <c r="D31" s="106"/>
      <c r="E31" s="38"/>
      <c r="F31" s="38"/>
      <c r="G31" s="6">
        <f>(33846.3*36.744)/1000000</f>
        <v>1.2436484472</v>
      </c>
      <c r="H31" s="13"/>
      <c r="I31" s="106"/>
      <c r="J31" s="6">
        <f>((5899694*0.907185)*36.744)/1000000</f>
        <v>196.65807319267415</v>
      </c>
      <c r="K31" s="37"/>
      <c r="L31" s="6">
        <f>(9780846.5*36.744)/1000000</f>
        <v>359.38742379600001</v>
      </c>
      <c r="M31" s="6"/>
      <c r="N31" s="13"/>
    </row>
    <row r="32" spans="1:17" ht="16.5" customHeight="1">
      <c r="A32" s="16" t="s">
        <v>40</v>
      </c>
      <c r="B32" s="106"/>
      <c r="C32" s="106"/>
      <c r="D32" s="106"/>
      <c r="E32" s="38"/>
      <c r="F32" s="38"/>
      <c r="G32" s="6">
        <f>(34971.9*36.744)/1000000</f>
        <v>1.2850074936000002</v>
      </c>
      <c r="H32" s="13"/>
      <c r="I32" s="106"/>
      <c r="J32" s="6">
        <f>((5687098*0.907185)*36.744)/1000000</f>
        <v>189.57148196803271</v>
      </c>
      <c r="K32" s="37"/>
      <c r="L32" s="6">
        <f>(9667590.7*36.744)/1000000</f>
        <v>355.22595268079994</v>
      </c>
      <c r="M32" s="6"/>
      <c r="N32" s="13"/>
    </row>
    <row r="33" spans="1:73" ht="16.5" customHeight="1">
      <c r="A33" s="16" t="s">
        <v>41</v>
      </c>
      <c r="B33" s="106"/>
      <c r="C33" s="106"/>
      <c r="D33" s="106"/>
      <c r="E33" s="38">
        <f>N26</f>
        <v>274.39400000000001</v>
      </c>
      <c r="F33" s="118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06"/>
      <c r="J33" s="6">
        <f>SUM(J30:J32)</f>
        <v>553.8404910634456</v>
      </c>
      <c r="K33" s="37">
        <f>M33-L33-J33</f>
        <v>186.60116550535417</v>
      </c>
      <c r="L33" s="6">
        <f>SUM(L30:L32)</f>
        <v>792.61902188160002</v>
      </c>
      <c r="M33" s="6">
        <f>H33-N33</f>
        <v>1533.0606784503998</v>
      </c>
      <c r="N33" s="13">
        <f>3021.152</f>
        <v>3021.152</v>
      </c>
    </row>
    <row r="34" spans="1:73" ht="16.5" customHeight="1">
      <c r="A34" s="16" t="s">
        <v>42</v>
      </c>
      <c r="B34" s="106"/>
      <c r="C34" s="106"/>
      <c r="D34" s="106"/>
      <c r="E34" s="38"/>
      <c r="F34" s="118"/>
      <c r="G34" s="6">
        <f>(36103.7*36.744)/1000000</f>
        <v>1.3265943527999999</v>
      </c>
      <c r="H34" s="13"/>
      <c r="I34" s="106"/>
      <c r="J34" s="6">
        <f>((5622561*0.907185)*36.744)/1000000</f>
        <v>187.42023106084403</v>
      </c>
      <c r="K34" s="37"/>
      <c r="L34" s="6">
        <f>(8294601.8*36.744)/1000000</f>
        <v>304.77684853919999</v>
      </c>
      <c r="M34" s="6"/>
      <c r="N34" s="13"/>
    </row>
    <row r="35" spans="1:73" ht="16.5" customHeight="1">
      <c r="A35" s="16" t="s">
        <v>43</v>
      </c>
      <c r="B35" s="106"/>
      <c r="C35" s="106"/>
      <c r="D35" s="106"/>
      <c r="E35" s="38"/>
      <c r="F35" s="118"/>
      <c r="G35" s="6">
        <f>(5893.9*36.744)/1000000</f>
        <v>0.21656546159999998</v>
      </c>
      <c r="H35" s="13"/>
      <c r="I35" s="106"/>
      <c r="J35" s="6">
        <f>((5734398*0.907185)*36.744)/1000000</f>
        <v>191.14816151480471</v>
      </c>
      <c r="K35" s="37"/>
      <c r="L35" s="6">
        <f>(8559125.5*36.744)/1000000</f>
        <v>314.496507372</v>
      </c>
      <c r="M35" s="6"/>
      <c r="N35" s="13"/>
    </row>
    <row r="36" spans="1:73" ht="16.5" customHeight="1">
      <c r="A36" s="16" t="s">
        <v>44</v>
      </c>
      <c r="B36" s="106"/>
      <c r="C36" s="106"/>
      <c r="D36" s="106"/>
      <c r="E36" s="38"/>
      <c r="F36" s="118"/>
      <c r="G36" s="6">
        <f>(27761.8*36.744)/1000000</f>
        <v>1.0200795791999999</v>
      </c>
      <c r="H36" s="13"/>
      <c r="I36" s="106"/>
      <c r="J36" s="6">
        <f>((5306995*0.907185)*36.744)/1000000</f>
        <v>176.9012784634518</v>
      </c>
      <c r="K36" s="37"/>
      <c r="L36" s="6">
        <f>(5374314*36.744)/1000000</f>
        <v>197.47379361599999</v>
      </c>
      <c r="M36" s="6"/>
      <c r="N36" s="13"/>
      <c r="P36" s="40"/>
    </row>
    <row r="37" spans="1:73" ht="16.5" customHeight="1">
      <c r="A37" s="16" t="s">
        <v>45</v>
      </c>
      <c r="B37" s="106"/>
      <c r="C37" s="106"/>
      <c r="D37" s="106"/>
      <c r="E37" s="38">
        <f>N33</f>
        <v>3021.152</v>
      </c>
      <c r="F37" s="118"/>
      <c r="G37" s="6">
        <f>SUM(G34:G36)</f>
        <v>2.5632393936</v>
      </c>
      <c r="H37" s="13">
        <f>SUM(E37:G37)</f>
        <v>3023.7152393935999</v>
      </c>
      <c r="I37" s="106"/>
      <c r="J37" s="6">
        <f>SUM(J34:J36)</f>
        <v>555.4696710391006</v>
      </c>
      <c r="K37" s="37">
        <f>M37-L37-J37</f>
        <v>-33.919581172700646</v>
      </c>
      <c r="L37" s="6">
        <f>SUM(L34:L36)</f>
        <v>816.74714952720001</v>
      </c>
      <c r="M37" s="6">
        <f>H37-N37</f>
        <v>1338.2972393936</v>
      </c>
      <c r="N37" s="13">
        <f>1685.418</f>
        <v>1685.4179999999999</v>
      </c>
    </row>
    <row r="38" spans="1:73" ht="16.5" customHeight="1">
      <c r="A38" s="16" t="s">
        <v>46</v>
      </c>
      <c r="B38" s="106"/>
      <c r="C38" s="106"/>
      <c r="D38" s="106"/>
      <c r="E38" s="38"/>
      <c r="F38" s="118"/>
      <c r="G38" s="6">
        <f>(34752.6*36.744)/1000000</f>
        <v>1.2769495343999999</v>
      </c>
      <c r="H38" s="13"/>
      <c r="I38" s="106"/>
      <c r="J38" s="6">
        <f>((5939012*0.907185)*36.744)/1000000</f>
        <v>197.9686838992277</v>
      </c>
      <c r="K38" s="37"/>
      <c r="L38" s="6">
        <f>(3135729.4*36.744)/1000000</f>
        <v>115.21924107359999</v>
      </c>
      <c r="M38" s="6"/>
      <c r="N38" s="13"/>
    </row>
    <row r="39" spans="1:73" ht="16.5" customHeight="1">
      <c r="A39" s="16" t="s">
        <v>28</v>
      </c>
      <c r="B39" s="106"/>
      <c r="C39" s="106"/>
      <c r="D39" s="106"/>
      <c r="E39" s="38"/>
      <c r="F39" s="118"/>
      <c r="G39" s="6">
        <f>SUM(G33,G37,G38)</f>
        <v>7.5358673783999999</v>
      </c>
      <c r="H39" s="148"/>
      <c r="I39" s="106"/>
      <c r="J39" s="6">
        <f>SUM(J33,J37,J38)</f>
        <v>1307.2788460017739</v>
      </c>
      <c r="K39" s="37"/>
      <c r="L39" s="6">
        <f>SUM(L33,L37,L38)</f>
        <v>1724.5854124824</v>
      </c>
      <c r="M39" s="6"/>
      <c r="N39" s="13"/>
    </row>
    <row r="40" spans="1:73" ht="16.5" customHeight="1">
      <c r="A40" s="101" t="s">
        <v>55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102"/>
      <c r="M40" s="82"/>
      <c r="N40" s="82"/>
    </row>
    <row r="41" spans="1:73" ht="16.5" customHeight="1">
      <c r="A41" s="16" t="s">
        <v>181</v>
      </c>
      <c r="B41" s="16"/>
      <c r="C41" s="16"/>
      <c r="D41" s="16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73" ht="16.5" customHeight="1">
      <c r="A42" s="21" t="s">
        <v>56</v>
      </c>
      <c r="B42" s="43">
        <f>Contents!A16</f>
        <v>45062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06"/>
      <c r="P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</row>
    <row r="43" spans="1:73">
      <c r="O43" s="106"/>
      <c r="P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</row>
    <row r="44" spans="1:73">
      <c r="O44" s="106"/>
      <c r="P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</row>
    <row r="45" spans="1:73">
      <c r="O45" s="106"/>
      <c r="P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</row>
    <row r="46" spans="1:73">
      <c r="O46" s="106"/>
      <c r="P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</row>
    <row r="47" spans="1:73">
      <c r="J47" s="40"/>
      <c r="L47" s="40"/>
      <c r="O47" s="106"/>
      <c r="P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</row>
    <row r="48" spans="1:73">
      <c r="J48" s="40"/>
      <c r="L48" s="40"/>
      <c r="O48" s="106"/>
      <c r="P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</row>
    <row r="49" spans="10:73">
      <c r="J49" s="40"/>
      <c r="L49" s="40"/>
      <c r="O49" s="106"/>
      <c r="P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</row>
    <row r="50" spans="10:73">
      <c r="O50" s="106"/>
      <c r="P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</row>
    <row r="51" spans="10:73">
      <c r="O51" s="106"/>
      <c r="P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</row>
    <row r="52" spans="10:73">
      <c r="O52" s="106"/>
      <c r="P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</row>
    <row r="53" spans="10:73">
      <c r="O53" s="106"/>
      <c r="P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</row>
    <row r="54" spans="10:73">
      <c r="O54" s="106"/>
      <c r="P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</row>
    <row r="55" spans="10:73">
      <c r="O55" s="106"/>
      <c r="P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</row>
    <row r="56" spans="10:73">
      <c r="O56" s="106"/>
      <c r="P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</row>
    <row r="57" spans="10:73">
      <c r="O57" s="106"/>
      <c r="P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</row>
    <row r="58" spans="10:73">
      <c r="O58" s="106"/>
      <c r="P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</row>
    <row r="59" spans="10:73">
      <c r="O59" s="106"/>
      <c r="P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</row>
    <row r="60" spans="10:73">
      <c r="O60" s="106"/>
      <c r="P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</row>
    <row r="61" spans="10:73">
      <c r="O61" s="106"/>
      <c r="P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</row>
    <row r="62" spans="10:73">
      <c r="O62" s="106"/>
      <c r="P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</row>
    <row r="63" spans="10:73">
      <c r="O63" s="106"/>
      <c r="P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</row>
    <row r="64" spans="10:73">
      <c r="O64" s="106"/>
      <c r="P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</row>
    <row r="65" spans="15:73">
      <c r="O65" s="106"/>
      <c r="P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</row>
    <row r="66" spans="15:73">
      <c r="O66" s="106"/>
      <c r="P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</row>
    <row r="67" spans="15:73">
      <c r="O67" s="106"/>
      <c r="P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</row>
    <row r="68" spans="15:73">
      <c r="O68" s="106"/>
      <c r="P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</row>
    <row r="69" spans="15:73">
      <c r="O69" s="106"/>
      <c r="P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</row>
    <row r="70" spans="15:73"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</row>
    <row r="71" spans="15:73"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</row>
    <row r="72" spans="15:73"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</row>
    <row r="73" spans="15:73"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</row>
    <row r="74" spans="15:73"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</row>
    <row r="75" spans="15:73"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</row>
    <row r="76" spans="15:73"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</row>
    <row r="77" spans="15:73"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</row>
    <row r="78" spans="15:73"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</row>
    <row r="79" spans="15:73"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</row>
    <row r="80" spans="15:73"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</row>
    <row r="81" spans="15:73"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</row>
    <row r="82" spans="15:73"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</row>
    <row r="83" spans="15:73"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</row>
    <row r="84" spans="15:73"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</row>
    <row r="85" spans="15:73"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</row>
    <row r="86" spans="15:73"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</row>
    <row r="87" spans="15:73"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</row>
    <row r="88" spans="15:73"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</row>
    <row r="89" spans="15:73"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</row>
    <row r="90" spans="15:73"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</row>
    <row r="91" spans="15:73"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</row>
    <row r="92" spans="15:73"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</row>
    <row r="93" spans="15:73"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</row>
    <row r="94" spans="15:73"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</row>
    <row r="95" spans="15:73"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</row>
    <row r="96" spans="15:73"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</row>
    <row r="97" spans="15:73"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</row>
    <row r="98" spans="15:73"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</row>
    <row r="99" spans="15:73"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</row>
    <row r="100" spans="15:73"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</row>
    <row r="101" spans="15:73"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</row>
    <row r="102" spans="15:73"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</row>
    <row r="103" spans="15:73"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</row>
    <row r="104" spans="15:73"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</row>
    <row r="105" spans="15:73"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</row>
    <row r="106" spans="15:73"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</row>
    <row r="107" spans="15:73"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</row>
    <row r="108" spans="15:73"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</row>
    <row r="109" spans="15:73"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</row>
    <row r="110" spans="15:73"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</row>
    <row r="111" spans="15:73"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</row>
    <row r="112" spans="15:73"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</row>
    <row r="113" spans="15:73"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</row>
    <row r="114" spans="15:73">
      <c r="O114" s="106"/>
      <c r="P114" s="10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</row>
    <row r="115" spans="15:73"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</row>
    <row r="116" spans="15:73"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</row>
    <row r="117" spans="15:73"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</row>
    <row r="118" spans="15:73"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</row>
    <row r="119" spans="15:73"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</row>
    <row r="120" spans="15:73"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</row>
    <row r="121" spans="15:73"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</row>
    <row r="122" spans="15:73"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</row>
    <row r="123" spans="15:73"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</row>
    <row r="124" spans="15:73"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</row>
    <row r="125" spans="15:73"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</row>
    <row r="126" spans="15:73">
      <c r="O126" s="106"/>
      <c r="P126" s="106"/>
      <c r="Q126" s="106"/>
      <c r="R126" s="106"/>
      <c r="S126" s="106"/>
      <c r="T126" s="106"/>
      <c r="U126" s="106"/>
      <c r="V126" s="106"/>
      <c r="W126" s="106"/>
      <c r="X126" s="106"/>
      <c r="Y126" s="106"/>
      <c r="Z126" s="106"/>
      <c r="AA126" s="106"/>
      <c r="AB126" s="106"/>
      <c r="AC126" s="106"/>
      <c r="AD126" s="106"/>
      <c r="AE126" s="106"/>
      <c r="AF126" s="106"/>
      <c r="AG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6"/>
      <c r="AS126" s="106"/>
      <c r="AT126" s="106"/>
      <c r="AU126" s="106"/>
      <c r="AV126" s="106"/>
      <c r="AW126" s="106"/>
      <c r="AX126" s="106"/>
      <c r="AY126" s="106"/>
      <c r="AZ126" s="106"/>
      <c r="BA126" s="106"/>
      <c r="BB126" s="106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</row>
    <row r="127" spans="15:73">
      <c r="O127" s="106"/>
      <c r="P127" s="106"/>
      <c r="Q127" s="106"/>
      <c r="R127" s="106"/>
      <c r="S127" s="106"/>
      <c r="T127" s="106"/>
      <c r="U127" s="106"/>
      <c r="V127" s="106"/>
      <c r="W127" s="106"/>
      <c r="X127" s="106"/>
      <c r="Y127" s="106"/>
      <c r="Z127" s="106"/>
      <c r="AA127" s="106"/>
      <c r="AB127" s="106"/>
      <c r="AC127" s="106"/>
      <c r="AD127" s="106"/>
      <c r="AE127" s="106"/>
      <c r="AF127" s="106"/>
      <c r="AG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6"/>
      <c r="AS127" s="106"/>
      <c r="AT127" s="106"/>
      <c r="AU127" s="106"/>
      <c r="AV127" s="106"/>
      <c r="AW127" s="106"/>
      <c r="AX127" s="106"/>
      <c r="AY127" s="106"/>
      <c r="AZ127" s="106"/>
      <c r="BA127" s="106"/>
      <c r="BB127" s="106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</row>
    <row r="128" spans="15:73"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6"/>
      <c r="AS128" s="106"/>
      <c r="AT128" s="106"/>
      <c r="AU128" s="106"/>
      <c r="AV128" s="106"/>
      <c r="AW128" s="106"/>
      <c r="AX128" s="106"/>
      <c r="AY128" s="106"/>
      <c r="AZ128" s="106"/>
      <c r="BA128" s="106"/>
      <c r="BB128" s="106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</row>
    <row r="129" spans="15:73"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</row>
    <row r="130" spans="15:73">
      <c r="O130" s="106"/>
      <c r="P130" s="10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106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</row>
    <row r="131" spans="15:73">
      <c r="O131" s="106"/>
      <c r="P131" s="106"/>
      <c r="Q131" s="106"/>
      <c r="R131" s="106"/>
      <c r="S131" s="106"/>
      <c r="T131" s="106"/>
      <c r="U131" s="106"/>
      <c r="V131" s="106"/>
      <c r="W131" s="106"/>
      <c r="X131" s="106"/>
      <c r="Y131" s="106"/>
      <c r="Z131" s="106"/>
      <c r="AA131" s="106"/>
      <c r="AB131" s="106"/>
      <c r="AC131" s="106"/>
      <c r="AD131" s="106"/>
      <c r="AE131" s="106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</row>
    <row r="132" spans="15:73"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6"/>
      <c r="AJ132" s="106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</row>
    <row r="133" spans="15:73">
      <c r="O133" s="106"/>
      <c r="P133" s="10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106"/>
      <c r="AF133" s="106"/>
      <c r="AG133" s="106"/>
      <c r="AH133" s="106"/>
      <c r="AI133" s="106"/>
      <c r="AJ133" s="106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</row>
    <row r="134" spans="15:73"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106"/>
      <c r="AF134" s="106"/>
      <c r="AG134" s="106"/>
      <c r="AH134" s="106"/>
      <c r="AI134" s="106"/>
      <c r="AJ134" s="106"/>
      <c r="AK134" s="106"/>
      <c r="AL134" s="106"/>
      <c r="AM134" s="106"/>
      <c r="AN134" s="106"/>
      <c r="AO134" s="106"/>
      <c r="AP134" s="106"/>
      <c r="AQ134" s="106"/>
      <c r="AR134" s="106"/>
      <c r="AS134" s="106"/>
      <c r="AT134" s="106"/>
      <c r="AU134" s="106"/>
      <c r="AV134" s="106"/>
      <c r="AW134" s="106"/>
      <c r="AX134" s="106"/>
      <c r="AY134" s="106"/>
      <c r="AZ134" s="106"/>
      <c r="BA134" s="106"/>
      <c r="BB134" s="106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</row>
    <row r="135" spans="15:73"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</row>
    <row r="136" spans="15:73"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</row>
    <row r="137" spans="15:73"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</row>
    <row r="138" spans="15:73"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</row>
    <row r="139" spans="15:73"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</row>
    <row r="140" spans="15:73"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</row>
    <row r="141" spans="15:73"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</row>
    <row r="142" spans="15:73"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</row>
    <row r="143" spans="15:73"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</row>
    <row r="144" spans="15:73"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</row>
    <row r="145" spans="15:73"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</row>
    <row r="146" spans="15:73"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</row>
    <row r="147" spans="15:73"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</row>
    <row r="148" spans="15:73"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</row>
    <row r="149" spans="15:73"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</row>
    <row r="150" spans="15:73"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</row>
    <row r="151" spans="15:73"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</row>
    <row r="152" spans="15:73"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</row>
    <row r="153" spans="15:73"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</row>
    <row r="154" spans="15:73"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</row>
    <row r="155" spans="15:73"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</row>
    <row r="156" spans="15:73"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</row>
    <row r="157" spans="15:73"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</row>
    <row r="158" spans="15:73"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</row>
    <row r="159" spans="15:73"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</row>
    <row r="160" spans="15:73"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</row>
    <row r="161" spans="15:73"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</row>
    <row r="162" spans="15:73"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</row>
    <row r="163" spans="15:73"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</row>
    <row r="164" spans="15:73"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</row>
    <row r="165" spans="15:73"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</row>
    <row r="166" spans="15:73"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</row>
    <row r="167" spans="15:73"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</row>
    <row r="168" spans="15:73"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</row>
    <row r="169" spans="15:73"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</row>
    <row r="170" spans="15:73"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</row>
    <row r="171" spans="15:73"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</row>
    <row r="172" spans="15:73"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</row>
    <row r="173" spans="15:73"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</row>
    <row r="174" spans="15:73"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</row>
    <row r="175" spans="15:73"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</row>
    <row r="176" spans="15:73"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</row>
    <row r="177" spans="15:73"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</row>
    <row r="178" spans="15:73"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</row>
    <row r="179" spans="15:73"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</row>
    <row r="180" spans="15:73"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</row>
    <row r="181" spans="15:73"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</row>
    <row r="182" spans="15:73"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</row>
    <row r="183" spans="15:73"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</row>
    <row r="184" spans="15:73"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</row>
    <row r="185" spans="15:73"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</row>
    <row r="186" spans="15:73"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</row>
    <row r="187" spans="15:73"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</row>
    <row r="188" spans="15:73"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</row>
    <row r="189" spans="15:73"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</row>
    <row r="190" spans="15:73"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</row>
    <row r="191" spans="15:73"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</row>
    <row r="192" spans="15:73"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</row>
    <row r="193" spans="15:73"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</row>
    <row r="194" spans="15:73"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</row>
    <row r="195" spans="15:73"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</row>
    <row r="196" spans="15:73"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</row>
    <row r="197" spans="15:73"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</row>
    <row r="198" spans="15:73"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</row>
    <row r="199" spans="15:73"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</row>
    <row r="200" spans="15:73"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</row>
    <row r="201" spans="15:73"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</row>
    <row r="202" spans="15:73"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</row>
    <row r="203" spans="15:73"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</row>
    <row r="204" spans="15:73"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</row>
    <row r="205" spans="15:73"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</row>
    <row r="206" spans="15:73"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</row>
    <row r="207" spans="15:73"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</row>
    <row r="208" spans="15:73"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</row>
    <row r="209" spans="15:73"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</row>
    <row r="210" spans="15:73"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</row>
    <row r="211" spans="15:73"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</row>
    <row r="212" spans="15:73"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</row>
    <row r="213" spans="15:73"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</row>
    <row r="214" spans="15:73"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</row>
    <row r="215" spans="15:73"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</row>
    <row r="216" spans="15:73"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</row>
    <row r="217" spans="15:73"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</row>
    <row r="218" spans="15:73"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</row>
    <row r="219" spans="15:73"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</row>
    <row r="220" spans="15:73"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</row>
    <row r="221" spans="15:73"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</row>
    <row r="222" spans="15:73"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</row>
    <row r="223" spans="15:73"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</row>
    <row r="224" spans="15:73"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</row>
    <row r="225" spans="15:73"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</row>
    <row r="226" spans="15:73"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</row>
    <row r="227" spans="15:73"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</row>
    <row r="228" spans="15:73"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</row>
    <row r="229" spans="15:73"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</row>
    <row r="230" spans="15:73"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</row>
    <row r="231" spans="15:73"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</row>
    <row r="232" spans="15:73"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</row>
    <row r="233" spans="15:73"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</row>
    <row r="234" spans="15:73"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</row>
    <row r="235" spans="15:73"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</row>
    <row r="236" spans="15:73"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</row>
    <row r="237" spans="15:73"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</row>
    <row r="238" spans="15:73"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</row>
    <row r="239" spans="15:73"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</row>
    <row r="240" spans="15:73"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</row>
    <row r="241" spans="15:73"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</row>
    <row r="242" spans="15:73"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</row>
    <row r="243" spans="15:73"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</row>
    <row r="244" spans="15:73"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</row>
    <row r="245" spans="15:73"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</row>
    <row r="246" spans="15:73"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</row>
    <row r="247" spans="15:73"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6"/>
      <c r="BU247" s="106"/>
    </row>
    <row r="248" spans="15:73"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</row>
    <row r="249" spans="15:73"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</row>
    <row r="250" spans="15:73"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</row>
    <row r="251" spans="15:73"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</row>
    <row r="252" spans="15:73"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</row>
    <row r="253" spans="15:73"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</row>
    <row r="254" spans="15:73"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  <c r="BU254" s="106"/>
    </row>
    <row r="255" spans="15:73"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  <c r="BU255" s="106"/>
    </row>
    <row r="256" spans="15:73"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06"/>
      <c r="BS256" s="106"/>
      <c r="BT256" s="106"/>
      <c r="BU256" s="106"/>
    </row>
    <row r="257" spans="15:73"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6"/>
      <c r="BU257" s="106"/>
    </row>
    <row r="258" spans="15:73"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106"/>
      <c r="BR258" s="106"/>
      <c r="BS258" s="106"/>
      <c r="BT258" s="106"/>
      <c r="BU258" s="106"/>
    </row>
    <row r="259" spans="15:73"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</row>
    <row r="260" spans="15:73"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</row>
    <row r="261" spans="15:73"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</row>
    <row r="262" spans="15:73"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 s="106"/>
      <c r="BQ262" s="106"/>
      <c r="BR262" s="106"/>
      <c r="BS262" s="106"/>
      <c r="BT262" s="106"/>
      <c r="BU262" s="106"/>
    </row>
    <row r="263" spans="15:73"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</row>
    <row r="264" spans="15:73"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</row>
    <row r="265" spans="15:73"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</row>
    <row r="266" spans="15:73"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</row>
    <row r="267" spans="15:73"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</row>
    <row r="268" spans="15:73"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6"/>
      <c r="BQ268" s="106"/>
      <c r="BR268" s="106"/>
      <c r="BS268" s="106"/>
      <c r="BT268" s="106"/>
      <c r="BU268" s="106"/>
    </row>
    <row r="269" spans="15:73"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</row>
    <row r="270" spans="15:73"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</row>
    <row r="271" spans="15:73"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</row>
    <row r="272" spans="15:73"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 s="106"/>
      <c r="BQ272" s="106"/>
      <c r="BR272" s="106"/>
      <c r="BS272" s="106"/>
      <c r="BT272" s="106"/>
      <c r="BU272" s="106"/>
    </row>
    <row r="273" spans="15:73"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</row>
    <row r="274" spans="15:73"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</row>
    <row r="275" spans="15:73"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6"/>
      <c r="BU275" s="106"/>
    </row>
    <row r="276" spans="15:73"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 s="106"/>
      <c r="BQ276" s="106"/>
      <c r="BR276" s="106"/>
      <c r="BS276" s="106"/>
      <c r="BT276" s="106"/>
      <c r="BU276" s="106"/>
    </row>
    <row r="277" spans="15:73"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6"/>
      <c r="BU277" s="106"/>
    </row>
    <row r="278" spans="15:73"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</row>
    <row r="279" spans="15:73"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H279" s="106"/>
      <c r="AI279" s="106"/>
      <c r="AJ279" s="106"/>
      <c r="AK279" s="106"/>
      <c r="AL279" s="106"/>
      <c r="AM279" s="106"/>
      <c r="AN279" s="106"/>
      <c r="AO279" s="106"/>
      <c r="AP279" s="106"/>
      <c r="AQ279" s="106"/>
      <c r="AR279" s="106"/>
      <c r="AS279" s="106"/>
      <c r="AT279" s="106"/>
      <c r="AU279" s="106"/>
      <c r="AV279" s="106"/>
      <c r="AW279" s="106"/>
      <c r="AX279" s="106"/>
      <c r="AY279" s="106"/>
      <c r="AZ279" s="106"/>
      <c r="BA279" s="106"/>
      <c r="BB279" s="106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6"/>
      <c r="BU279" s="106"/>
    </row>
    <row r="280" spans="15:73"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H280" s="106"/>
      <c r="AI280" s="106"/>
      <c r="AJ280" s="106"/>
      <c r="AK280" s="106"/>
      <c r="AL280" s="106"/>
      <c r="AM280" s="106"/>
      <c r="AN280" s="106"/>
      <c r="AO280" s="106"/>
      <c r="AP280" s="106"/>
      <c r="AQ280" s="106"/>
      <c r="AR280" s="106"/>
      <c r="AS280" s="106"/>
      <c r="AT280" s="106"/>
      <c r="AU280" s="106"/>
      <c r="AV280" s="106"/>
      <c r="AW280" s="106"/>
      <c r="AX280" s="106"/>
      <c r="AY280" s="106"/>
      <c r="AZ280" s="106"/>
      <c r="BA280" s="106"/>
      <c r="BB280" s="106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6"/>
      <c r="BQ280" s="106"/>
      <c r="BR280" s="106"/>
      <c r="BS280" s="106"/>
      <c r="BT280" s="106"/>
      <c r="BU280" s="106"/>
    </row>
    <row r="281" spans="15:73"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H281" s="106"/>
      <c r="AI281" s="106"/>
      <c r="AJ281" s="106"/>
      <c r="AK281" s="106"/>
      <c r="AL281" s="106"/>
      <c r="AM281" s="106"/>
      <c r="AN281" s="106"/>
      <c r="AO281" s="106"/>
      <c r="AP281" s="106"/>
      <c r="AQ281" s="106"/>
      <c r="AR281" s="106"/>
      <c r="AS281" s="106"/>
      <c r="AT281" s="106"/>
      <c r="AU281" s="106"/>
      <c r="AV281" s="106"/>
      <c r="AW281" s="106"/>
      <c r="AX281" s="106"/>
      <c r="AY281" s="106"/>
      <c r="AZ281" s="106"/>
      <c r="BA281" s="106"/>
      <c r="BB281" s="106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6"/>
      <c r="BQ281" s="106"/>
      <c r="BR281" s="106"/>
      <c r="BS281" s="106"/>
      <c r="BT281" s="106"/>
      <c r="BU281" s="106"/>
    </row>
    <row r="282" spans="15:73"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H282" s="106"/>
      <c r="AI282" s="106"/>
      <c r="AJ282" s="106"/>
      <c r="AK282" s="106"/>
      <c r="AL282" s="106"/>
      <c r="AM282" s="106"/>
      <c r="AN282" s="106"/>
      <c r="AO282" s="106"/>
      <c r="AP282" s="106"/>
      <c r="AQ282" s="106"/>
      <c r="AR282" s="106"/>
      <c r="AS282" s="106"/>
      <c r="AT282" s="106"/>
      <c r="AU282" s="106"/>
      <c r="AV282" s="106"/>
      <c r="AW282" s="106"/>
      <c r="AX282" s="106"/>
      <c r="AY282" s="106"/>
      <c r="AZ282" s="106"/>
      <c r="BA282" s="106"/>
      <c r="BB282" s="106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</row>
    <row r="283" spans="15:73"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H283" s="106"/>
      <c r="AI283" s="106"/>
      <c r="AJ283" s="106"/>
      <c r="AK283" s="106"/>
      <c r="AL283" s="106"/>
      <c r="AM283" s="106"/>
      <c r="AN283" s="106"/>
      <c r="AO283" s="106"/>
      <c r="AP283" s="106"/>
      <c r="AQ283" s="106"/>
      <c r="AR283" s="106"/>
      <c r="AS283" s="106"/>
      <c r="AT283" s="106"/>
      <c r="AU283" s="106"/>
      <c r="AV283" s="106"/>
      <c r="AW283" s="106"/>
      <c r="AX283" s="106"/>
      <c r="AY283" s="106"/>
      <c r="AZ283" s="106"/>
      <c r="BA283" s="106"/>
      <c r="BB283" s="106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6"/>
      <c r="BR283" s="106"/>
      <c r="BS283" s="106"/>
      <c r="BT283" s="106"/>
      <c r="BU283" s="106"/>
    </row>
    <row r="284" spans="15:73"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H284" s="106"/>
      <c r="AI284" s="106"/>
      <c r="AJ284" s="106"/>
      <c r="AK284" s="106"/>
      <c r="AL284" s="106"/>
      <c r="AM284" s="106"/>
      <c r="AN284" s="106"/>
      <c r="AO284" s="106"/>
      <c r="AP284" s="106"/>
      <c r="AQ284" s="106"/>
      <c r="AR284" s="106"/>
      <c r="AS284" s="106"/>
      <c r="AT284" s="106"/>
      <c r="AU284" s="106"/>
      <c r="AV284" s="106"/>
      <c r="AW284" s="106"/>
      <c r="AX284" s="106"/>
      <c r="AY284" s="106"/>
      <c r="AZ284" s="106"/>
      <c r="BA284" s="106"/>
      <c r="BB284" s="106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</row>
    <row r="285" spans="15:73"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H285" s="106"/>
      <c r="AI285" s="106"/>
      <c r="AJ285" s="106"/>
      <c r="AK285" s="106"/>
      <c r="AL285" s="106"/>
      <c r="AM285" s="106"/>
      <c r="AN285" s="106"/>
      <c r="AO285" s="106"/>
      <c r="AP285" s="106"/>
      <c r="AQ285" s="106"/>
      <c r="AR285" s="106"/>
      <c r="AS285" s="106"/>
      <c r="AT285" s="106"/>
      <c r="AU285" s="106"/>
      <c r="AV285" s="106"/>
      <c r="AW285" s="106"/>
      <c r="AX285" s="106"/>
      <c r="AY285" s="106"/>
      <c r="AZ285" s="106"/>
      <c r="BA285" s="106"/>
      <c r="BB285" s="106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</row>
    <row r="286" spans="15:73"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H286" s="106"/>
      <c r="AI286" s="106"/>
      <c r="AJ286" s="106"/>
      <c r="AK286" s="106"/>
      <c r="AL286" s="106"/>
      <c r="AM286" s="106"/>
      <c r="AN286" s="106"/>
      <c r="AO286" s="106"/>
      <c r="AP286" s="106"/>
      <c r="AQ286" s="106"/>
      <c r="AR286" s="106"/>
      <c r="AS286" s="106"/>
      <c r="AT286" s="106"/>
      <c r="AU286" s="106"/>
      <c r="AV286" s="106"/>
      <c r="AW286" s="106"/>
      <c r="AX286" s="106"/>
      <c r="AY286" s="106"/>
      <c r="AZ286" s="106"/>
      <c r="BA286" s="106"/>
      <c r="BB286" s="106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</row>
    <row r="287" spans="15:73"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H287" s="106"/>
      <c r="AI287" s="106"/>
      <c r="AJ287" s="106"/>
      <c r="AK287" s="106"/>
      <c r="AL287" s="106"/>
      <c r="AM287" s="106"/>
      <c r="AN287" s="106"/>
      <c r="AO287" s="106"/>
      <c r="AP287" s="106"/>
      <c r="AQ287" s="106"/>
      <c r="AR287" s="106"/>
      <c r="AS287" s="106"/>
      <c r="AT287" s="106"/>
      <c r="AU287" s="106"/>
      <c r="AV287" s="106"/>
      <c r="AW287" s="106"/>
      <c r="AX287" s="106"/>
      <c r="AY287" s="106"/>
      <c r="AZ287" s="106"/>
      <c r="BA287" s="106"/>
      <c r="BB287" s="106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6"/>
      <c r="BQ287" s="106"/>
      <c r="BR287" s="106"/>
      <c r="BS287" s="106"/>
      <c r="BT287" s="106"/>
      <c r="BU287" s="106"/>
    </row>
    <row r="288" spans="15:73"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H288" s="106"/>
      <c r="AI288" s="106"/>
      <c r="AJ288" s="106"/>
      <c r="AK288" s="106"/>
      <c r="AL288" s="106"/>
      <c r="AM288" s="106"/>
      <c r="AN288" s="106"/>
      <c r="AO288" s="106"/>
      <c r="AP288" s="106"/>
      <c r="AQ288" s="106"/>
      <c r="AR288" s="106"/>
      <c r="AS288" s="106"/>
      <c r="AT288" s="106"/>
      <c r="AU288" s="106"/>
      <c r="AV288" s="106"/>
      <c r="AW288" s="106"/>
      <c r="AX288" s="106"/>
      <c r="AY288" s="106"/>
      <c r="AZ288" s="106"/>
      <c r="BA288" s="106"/>
      <c r="BB288" s="106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6"/>
      <c r="BQ288" s="106"/>
      <c r="BR288" s="106"/>
      <c r="BS288" s="106"/>
      <c r="BT288" s="106"/>
      <c r="BU288" s="106"/>
    </row>
    <row r="289" spans="15:73"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</row>
    <row r="290" spans="15:73"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H290" s="106"/>
      <c r="AI290" s="106"/>
      <c r="AJ290" s="106"/>
      <c r="AK290" s="106"/>
      <c r="AL290" s="106"/>
      <c r="AM290" s="106"/>
      <c r="AN290" s="106"/>
      <c r="AO290" s="106"/>
      <c r="AP290" s="106"/>
      <c r="AQ290" s="106"/>
      <c r="AR290" s="106"/>
      <c r="AS290" s="106"/>
      <c r="AT290" s="106"/>
      <c r="AU290" s="106"/>
      <c r="AV290" s="106"/>
      <c r="AW290" s="106"/>
      <c r="AX290" s="106"/>
      <c r="AY290" s="106"/>
      <c r="AZ290" s="106"/>
      <c r="BA290" s="106"/>
      <c r="BB290" s="106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</row>
    <row r="291" spans="15:73"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6"/>
      <c r="BQ291" s="106"/>
      <c r="BR291" s="106"/>
      <c r="BS291" s="106"/>
      <c r="BT291" s="106"/>
      <c r="BU291" s="106"/>
    </row>
    <row r="292" spans="15:73"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6"/>
      <c r="BU292" s="106"/>
    </row>
    <row r="293" spans="15:73"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H293" s="106"/>
      <c r="AI293" s="106"/>
      <c r="AJ293" s="106"/>
      <c r="AK293" s="106"/>
      <c r="AL293" s="106"/>
      <c r="AM293" s="106"/>
      <c r="AN293" s="106"/>
      <c r="AO293" s="106"/>
      <c r="AP293" s="106"/>
      <c r="AQ293" s="106"/>
      <c r="AR293" s="106"/>
      <c r="AS293" s="106"/>
      <c r="AT293" s="106"/>
      <c r="AU293" s="106"/>
      <c r="AV293" s="106"/>
      <c r="AW293" s="106"/>
      <c r="AX293" s="106"/>
      <c r="AY293" s="106"/>
      <c r="AZ293" s="106"/>
      <c r="BA293" s="106"/>
      <c r="BB293" s="106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  <c r="BQ293" s="106"/>
      <c r="BR293" s="106"/>
      <c r="BS293" s="106"/>
      <c r="BT293" s="106"/>
      <c r="BU293" s="106"/>
    </row>
    <row r="294" spans="15:73"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  <c r="BQ294" s="106"/>
      <c r="BR294" s="106"/>
      <c r="BS294" s="106"/>
      <c r="BT294" s="106"/>
      <c r="BU294" s="106"/>
    </row>
    <row r="295" spans="15:73"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H295" s="106"/>
      <c r="AI295" s="106"/>
      <c r="AJ295" s="106"/>
      <c r="AK295" s="106"/>
      <c r="AL295" s="106"/>
      <c r="AM295" s="106"/>
      <c r="AN295" s="106"/>
      <c r="AO295" s="106"/>
      <c r="AP295" s="106"/>
      <c r="AQ295" s="106"/>
      <c r="AR295" s="106"/>
      <c r="AS295" s="106"/>
      <c r="AT295" s="106"/>
      <c r="AU295" s="106"/>
      <c r="AV295" s="106"/>
      <c r="AW295" s="106"/>
      <c r="AX295" s="106"/>
      <c r="AY295" s="106"/>
      <c r="AZ295" s="106"/>
      <c r="BA295" s="106"/>
      <c r="BB295" s="106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  <c r="BQ295" s="106"/>
      <c r="BR295" s="106"/>
      <c r="BS295" s="106"/>
      <c r="BT295" s="106"/>
      <c r="BU295" s="106"/>
    </row>
    <row r="296" spans="15:73"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/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  <c r="BQ296" s="106"/>
      <c r="BR296" s="106"/>
      <c r="BS296" s="106"/>
      <c r="BT296" s="106"/>
      <c r="BU296" s="106"/>
    </row>
    <row r="297" spans="15:73"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H297" s="106"/>
      <c r="AI297" s="106"/>
      <c r="AJ297" s="106"/>
      <c r="AK297" s="106"/>
      <c r="AL297" s="106"/>
      <c r="AM297" s="106"/>
      <c r="AN297" s="106"/>
      <c r="AO297" s="106"/>
      <c r="AP297" s="106"/>
      <c r="AQ297" s="106"/>
      <c r="AR297" s="106"/>
      <c r="AS297" s="106"/>
      <c r="AT297" s="106"/>
      <c r="AU297" s="106"/>
      <c r="AV297" s="106"/>
      <c r="AW297" s="106"/>
      <c r="AX297" s="106"/>
      <c r="AY297" s="106"/>
      <c r="AZ297" s="106"/>
      <c r="BA297" s="106"/>
      <c r="BB297" s="106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  <c r="BQ297" s="106"/>
      <c r="BR297" s="106"/>
      <c r="BS297" s="106"/>
      <c r="BT297" s="106"/>
      <c r="BU297" s="106"/>
    </row>
    <row r="298" spans="15:73">
      <c r="O298" s="106"/>
      <c r="P298" s="106"/>
      <c r="Q298" s="106"/>
      <c r="R298" s="106"/>
      <c r="S298" s="106"/>
      <c r="T298" s="106"/>
      <c r="U298" s="106"/>
      <c r="V298" s="106"/>
      <c r="W298" s="106"/>
      <c r="X298" s="106"/>
      <c r="Y298" s="106"/>
      <c r="Z298" s="106"/>
      <c r="AA298" s="106"/>
      <c r="AB298" s="106"/>
      <c r="AC298" s="106"/>
      <c r="AD298" s="106"/>
      <c r="AE298" s="106"/>
      <c r="AF298" s="106"/>
      <c r="AG298" s="106"/>
      <c r="AH298" s="106"/>
      <c r="AI298" s="106"/>
      <c r="AJ298" s="106"/>
      <c r="AK298" s="106"/>
      <c r="AL298" s="106"/>
      <c r="AM298" s="106"/>
      <c r="AN298" s="106"/>
      <c r="AO298" s="106"/>
      <c r="AP298" s="106"/>
      <c r="AQ298" s="106"/>
      <c r="AR298" s="106"/>
      <c r="AS298" s="106"/>
      <c r="AT298" s="106"/>
      <c r="AU298" s="106"/>
      <c r="AV298" s="106"/>
      <c r="AW298" s="106"/>
      <c r="AX298" s="106"/>
      <c r="AY298" s="106"/>
      <c r="AZ298" s="106"/>
      <c r="BA298" s="106"/>
      <c r="BB298" s="106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</row>
    <row r="299" spans="15:73"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H299" s="106"/>
      <c r="AI299" s="106"/>
      <c r="AJ299" s="106"/>
      <c r="AK299" s="106"/>
      <c r="AL299" s="106"/>
      <c r="AM299" s="106"/>
      <c r="AN299" s="106"/>
      <c r="AO299" s="106"/>
      <c r="AP299" s="106"/>
      <c r="AQ299" s="106"/>
      <c r="AR299" s="106"/>
      <c r="AS299" s="106"/>
      <c r="AT299" s="106"/>
      <c r="AU299" s="106"/>
      <c r="AV299" s="106"/>
      <c r="AW299" s="106"/>
      <c r="AX299" s="106"/>
      <c r="AY299" s="106"/>
      <c r="AZ299" s="106"/>
      <c r="BA299" s="106"/>
      <c r="BB299" s="106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</row>
    <row r="300" spans="15:73">
      <c r="O300" s="106"/>
      <c r="P300" s="106"/>
      <c r="Q300" s="106"/>
      <c r="R300" s="106"/>
      <c r="S300" s="106"/>
      <c r="T300" s="106"/>
      <c r="U300" s="106"/>
      <c r="V300" s="106"/>
      <c r="W300" s="106"/>
      <c r="X300" s="106"/>
      <c r="Y300" s="106"/>
      <c r="Z300" s="106"/>
      <c r="AA300" s="106"/>
      <c r="AB300" s="106"/>
      <c r="AC300" s="106"/>
      <c r="AD300" s="106"/>
      <c r="AE300" s="106"/>
      <c r="AF300" s="106"/>
      <c r="AG300" s="106"/>
      <c r="AH300" s="106"/>
      <c r="AI300" s="106"/>
      <c r="AJ300" s="106"/>
      <c r="AK300" s="106"/>
      <c r="AL300" s="106"/>
      <c r="AM300" s="106"/>
      <c r="AN300" s="106"/>
      <c r="AO300" s="106"/>
      <c r="AP300" s="106"/>
      <c r="AQ300" s="106"/>
      <c r="AR300" s="106"/>
      <c r="AS300" s="106"/>
      <c r="AT300" s="106"/>
      <c r="AU300" s="106"/>
      <c r="AV300" s="106"/>
      <c r="AW300" s="106"/>
      <c r="AX300" s="106"/>
      <c r="AY300" s="106"/>
      <c r="AZ300" s="106"/>
      <c r="BA300" s="106"/>
      <c r="BB300" s="106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</row>
    <row r="301" spans="15:73"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H301" s="106"/>
      <c r="AI301" s="106"/>
      <c r="AJ301" s="106"/>
      <c r="AK301" s="106"/>
      <c r="AL301" s="106"/>
      <c r="AM301" s="106"/>
      <c r="AN301" s="106"/>
      <c r="AO301" s="106"/>
      <c r="AP301" s="106"/>
      <c r="AQ301" s="106"/>
      <c r="AR301" s="106"/>
      <c r="AS301" s="106"/>
      <c r="AT301" s="106"/>
      <c r="AU301" s="106"/>
      <c r="AV301" s="106"/>
      <c r="AW301" s="106"/>
      <c r="AX301" s="106"/>
      <c r="AY301" s="106"/>
      <c r="AZ301" s="106"/>
      <c r="BA301" s="106"/>
      <c r="BB301" s="106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</row>
    <row r="302" spans="15:73">
      <c r="O302" s="106"/>
      <c r="P302" s="106"/>
      <c r="Q302" s="106"/>
      <c r="R302" s="106"/>
      <c r="S302" s="106"/>
      <c r="T302" s="106"/>
      <c r="U302" s="106"/>
      <c r="V302" s="106"/>
      <c r="W302" s="106"/>
      <c r="X302" s="106"/>
      <c r="Y302" s="106"/>
      <c r="Z302" s="106"/>
      <c r="AA302" s="106"/>
      <c r="AB302" s="106"/>
      <c r="AC302" s="106"/>
      <c r="AD302" s="106"/>
      <c r="AE302" s="106"/>
      <c r="AF302" s="106"/>
      <c r="AG302" s="106"/>
      <c r="AH302" s="106"/>
      <c r="AI302" s="106"/>
      <c r="AJ302" s="106"/>
      <c r="AK302" s="106"/>
      <c r="AL302" s="106"/>
      <c r="AM302" s="106"/>
      <c r="AN302" s="106"/>
      <c r="AO302" s="106"/>
      <c r="AP302" s="106"/>
      <c r="AQ302" s="106"/>
      <c r="AR302" s="106"/>
      <c r="AS302" s="106"/>
      <c r="AT302" s="106"/>
      <c r="AU302" s="106"/>
      <c r="AV302" s="106"/>
      <c r="AW302" s="106"/>
      <c r="AX302" s="106"/>
      <c r="AY302" s="106"/>
      <c r="AZ302" s="106"/>
      <c r="BA302" s="106"/>
      <c r="BB302" s="106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</row>
    <row r="303" spans="15:73">
      <c r="O303" s="106"/>
      <c r="P303" s="106"/>
      <c r="Q303" s="106"/>
      <c r="R303" s="106"/>
      <c r="S303" s="106"/>
      <c r="T303" s="106"/>
      <c r="U303" s="106"/>
      <c r="V303" s="106"/>
      <c r="W303" s="106"/>
      <c r="X303" s="106"/>
      <c r="Y303" s="106"/>
      <c r="Z303" s="106"/>
      <c r="AA303" s="106"/>
      <c r="AB303" s="106"/>
      <c r="AC303" s="106"/>
      <c r="AD303" s="106"/>
      <c r="AE303" s="106"/>
      <c r="AF303" s="106"/>
      <c r="AG303" s="106"/>
      <c r="AH303" s="106"/>
      <c r="AI303" s="106"/>
      <c r="AJ303" s="106"/>
      <c r="AK303" s="106"/>
      <c r="AL303" s="106"/>
      <c r="AM303" s="106"/>
      <c r="AN303" s="106"/>
      <c r="AO303" s="106"/>
      <c r="AP303" s="106"/>
      <c r="AQ303" s="106"/>
      <c r="AR303" s="106"/>
      <c r="AS303" s="106"/>
      <c r="AT303" s="106"/>
      <c r="AU303" s="106"/>
      <c r="AV303" s="106"/>
      <c r="AW303" s="106"/>
      <c r="AX303" s="106"/>
      <c r="AY303" s="106"/>
      <c r="AZ303" s="106"/>
      <c r="BA303" s="106"/>
      <c r="BB303" s="106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</row>
    <row r="304" spans="15:73"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H304" s="106"/>
      <c r="AI304" s="106"/>
      <c r="AJ304" s="106"/>
      <c r="AK304" s="106"/>
      <c r="AL304" s="106"/>
      <c r="AM304" s="106"/>
      <c r="AN304" s="106"/>
      <c r="AO304" s="106"/>
      <c r="AP304" s="106"/>
      <c r="AQ304" s="106"/>
      <c r="AR304" s="106"/>
      <c r="AS304" s="106"/>
      <c r="AT304" s="106"/>
      <c r="AU304" s="106"/>
      <c r="AV304" s="106"/>
      <c r="AW304" s="106"/>
      <c r="AX304" s="106"/>
      <c r="AY304" s="106"/>
      <c r="AZ304" s="106"/>
      <c r="BA304" s="106"/>
      <c r="BB304" s="106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</row>
    <row r="305" spans="15:73">
      <c r="O305" s="106"/>
      <c r="P305" s="106"/>
      <c r="Q305" s="106"/>
      <c r="R305" s="106"/>
      <c r="S305" s="106"/>
      <c r="T305" s="106"/>
      <c r="U305" s="106"/>
      <c r="V305" s="106"/>
      <c r="W305" s="106"/>
      <c r="X305" s="106"/>
      <c r="Y305" s="106"/>
      <c r="Z305" s="106"/>
      <c r="AA305" s="106"/>
      <c r="AB305" s="106"/>
      <c r="AC305" s="106"/>
      <c r="AD305" s="106"/>
      <c r="AE305" s="106"/>
      <c r="AF305" s="106"/>
      <c r="AG305" s="106"/>
      <c r="AH305" s="106"/>
      <c r="AI305" s="106"/>
      <c r="AJ305" s="106"/>
      <c r="AK305" s="106"/>
      <c r="AL305" s="106"/>
      <c r="AM305" s="106"/>
      <c r="AN305" s="106"/>
      <c r="AO305" s="106"/>
      <c r="AP305" s="106"/>
      <c r="AQ305" s="106"/>
      <c r="AR305" s="106"/>
      <c r="AS305" s="106"/>
      <c r="AT305" s="106"/>
      <c r="AU305" s="106"/>
      <c r="AV305" s="106"/>
      <c r="AW305" s="106"/>
      <c r="AX305" s="106"/>
      <c r="AY305" s="106"/>
      <c r="AZ305" s="106"/>
      <c r="BA305" s="106"/>
      <c r="BB305" s="106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</row>
    <row r="306" spans="15:73"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6"/>
      <c r="AF306" s="106"/>
      <c r="AG306" s="106"/>
      <c r="AH306" s="106"/>
      <c r="AI306" s="106"/>
      <c r="AJ306" s="106"/>
      <c r="AK306" s="106"/>
      <c r="AL306" s="106"/>
      <c r="AM306" s="106"/>
      <c r="AN306" s="106"/>
      <c r="AO306" s="106"/>
      <c r="AP306" s="106"/>
      <c r="AQ306" s="106"/>
      <c r="AR306" s="106"/>
      <c r="AS306" s="106"/>
      <c r="AT306" s="106"/>
      <c r="AU306" s="106"/>
      <c r="AV306" s="106"/>
      <c r="AW306" s="106"/>
      <c r="AX306" s="106"/>
      <c r="AY306" s="106"/>
      <c r="AZ306" s="106"/>
      <c r="BA306" s="106"/>
      <c r="BB306" s="106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</row>
    <row r="307" spans="15:73"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  <c r="AF307" s="106"/>
      <c r="AG307" s="106"/>
      <c r="AH307" s="106"/>
      <c r="AI307" s="106"/>
      <c r="AJ307" s="106"/>
      <c r="AK307" s="106"/>
      <c r="AL307" s="106"/>
      <c r="AM307" s="106"/>
      <c r="AN307" s="106"/>
      <c r="AO307" s="106"/>
      <c r="AP307" s="106"/>
      <c r="AQ307" s="106"/>
      <c r="AR307" s="106"/>
      <c r="AS307" s="106"/>
      <c r="AT307" s="106"/>
      <c r="AU307" s="106"/>
      <c r="AV307" s="106"/>
      <c r="AW307" s="106"/>
      <c r="AX307" s="106"/>
      <c r="AY307" s="106"/>
      <c r="AZ307" s="106"/>
      <c r="BA307" s="106"/>
      <c r="BB307" s="106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</row>
    <row r="308" spans="15:73"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6"/>
      <c r="AH308" s="106"/>
      <c r="AI308" s="106"/>
      <c r="AJ308" s="106"/>
      <c r="AK308" s="106"/>
      <c r="AL308" s="106"/>
      <c r="AM308" s="106"/>
      <c r="AN308" s="106"/>
      <c r="AO308" s="106"/>
      <c r="AP308" s="106"/>
      <c r="AQ308" s="106"/>
      <c r="AR308" s="106"/>
      <c r="AS308" s="106"/>
      <c r="AT308" s="106"/>
      <c r="AU308" s="106"/>
      <c r="AV308" s="106"/>
      <c r="AW308" s="106"/>
      <c r="AX308" s="106"/>
      <c r="AY308" s="106"/>
      <c r="AZ308" s="106"/>
      <c r="BA308" s="106"/>
      <c r="BB308" s="106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 s="106"/>
      <c r="BQ308" s="106"/>
      <c r="BR308" s="106"/>
      <c r="BS308" s="106"/>
      <c r="BT308" s="106"/>
      <c r="BU308" s="106"/>
    </row>
    <row r="309" spans="15:73"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  <c r="AF309" s="106"/>
      <c r="AG309" s="106"/>
      <c r="AH309" s="106"/>
      <c r="AI309" s="106"/>
      <c r="AJ309" s="106"/>
      <c r="AK309" s="106"/>
      <c r="AL309" s="106"/>
      <c r="AM309" s="106"/>
      <c r="AN309" s="106"/>
      <c r="AO309" s="106"/>
      <c r="AP309" s="106"/>
      <c r="AQ309" s="106"/>
      <c r="AR309" s="106"/>
      <c r="AS309" s="106"/>
      <c r="AT309" s="106"/>
      <c r="AU309" s="106"/>
      <c r="AV309" s="106"/>
      <c r="AW309" s="106"/>
      <c r="AX309" s="106"/>
      <c r="AY309" s="106"/>
      <c r="AZ309" s="106"/>
      <c r="BA309" s="106"/>
      <c r="BB309" s="106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 s="106"/>
      <c r="BQ309" s="106"/>
      <c r="BR309" s="106"/>
      <c r="BS309" s="106"/>
      <c r="BT309" s="106"/>
      <c r="BU309" s="106"/>
    </row>
    <row r="310" spans="15:73"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  <c r="AF310" s="106"/>
      <c r="AG310" s="106"/>
      <c r="AH310" s="106"/>
      <c r="AI310" s="106"/>
      <c r="AJ310" s="106"/>
      <c r="AK310" s="106"/>
      <c r="AL310" s="106"/>
      <c r="AM310" s="106"/>
      <c r="AN310" s="106"/>
      <c r="AO310" s="106"/>
      <c r="AP310" s="106"/>
      <c r="AQ310" s="106"/>
      <c r="AR310" s="106"/>
      <c r="AS310" s="106"/>
      <c r="AT310" s="106"/>
      <c r="AU310" s="106"/>
      <c r="AV310" s="106"/>
      <c r="AW310" s="106"/>
      <c r="AX310" s="106"/>
      <c r="AY310" s="106"/>
      <c r="AZ310" s="106"/>
      <c r="BA310" s="106"/>
      <c r="BB310" s="106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 s="106"/>
      <c r="BQ310" s="106"/>
      <c r="BR310" s="106"/>
      <c r="BS310" s="106"/>
      <c r="BT310" s="106"/>
      <c r="BU310" s="106"/>
    </row>
    <row r="311" spans="15:73">
      <c r="O311" s="106"/>
      <c r="P311" s="106"/>
      <c r="Q311" s="106"/>
      <c r="R311" s="106"/>
      <c r="S311" s="106"/>
      <c r="T311" s="106"/>
      <c r="U311" s="106"/>
      <c r="V311" s="106"/>
      <c r="W311" s="106"/>
      <c r="X311" s="106"/>
      <c r="Y311" s="106"/>
      <c r="Z311" s="106"/>
      <c r="AA311" s="106"/>
      <c r="AB311" s="106"/>
      <c r="AC311" s="106"/>
      <c r="AD311" s="106"/>
      <c r="AE311" s="106"/>
      <c r="AF311" s="106"/>
      <c r="AG311" s="106"/>
      <c r="AH311" s="106"/>
      <c r="AI311" s="106"/>
      <c r="AJ311" s="106"/>
      <c r="AK311" s="106"/>
      <c r="AL311" s="106"/>
      <c r="AM311" s="106"/>
      <c r="AN311" s="106"/>
      <c r="AO311" s="106"/>
      <c r="AP311" s="106"/>
      <c r="AQ311" s="106"/>
      <c r="AR311" s="106"/>
      <c r="AS311" s="106"/>
      <c r="AT311" s="106"/>
      <c r="AU311" s="106"/>
      <c r="AV311" s="106"/>
      <c r="AW311" s="106"/>
      <c r="AX311" s="106"/>
      <c r="AY311" s="106"/>
      <c r="AZ311" s="106"/>
      <c r="BA311" s="106"/>
      <c r="BB311" s="106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 s="106"/>
      <c r="BQ311" s="106"/>
      <c r="BR311" s="106"/>
      <c r="BS311" s="106"/>
      <c r="BT311" s="106"/>
      <c r="BU311" s="106"/>
    </row>
    <row r="312" spans="15:73"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6"/>
      <c r="AD312" s="106"/>
      <c r="AE312" s="106"/>
      <c r="AF312" s="106"/>
      <c r="AG312" s="106"/>
      <c r="AH312" s="106"/>
      <c r="AI312" s="106"/>
      <c r="AJ312" s="106"/>
      <c r="AK312" s="106"/>
      <c r="AL312" s="106"/>
      <c r="AM312" s="106"/>
      <c r="AN312" s="106"/>
      <c r="AO312" s="106"/>
      <c r="AP312" s="106"/>
      <c r="AQ312" s="106"/>
      <c r="AR312" s="106"/>
      <c r="AS312" s="106"/>
      <c r="AT312" s="106"/>
      <c r="AU312" s="106"/>
      <c r="AV312" s="106"/>
      <c r="AW312" s="106"/>
      <c r="AX312" s="106"/>
      <c r="AY312" s="106"/>
      <c r="AZ312" s="106"/>
      <c r="BA312" s="106"/>
      <c r="BB312" s="106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 s="106"/>
      <c r="BQ312" s="106"/>
      <c r="BR312" s="106"/>
      <c r="BS312" s="106"/>
      <c r="BT312" s="106"/>
      <c r="BU312" s="106"/>
    </row>
    <row r="313" spans="15:73"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6"/>
      <c r="AD313" s="106"/>
      <c r="AE313" s="106"/>
      <c r="AF313" s="106"/>
      <c r="AG313" s="106"/>
      <c r="AH313" s="106"/>
      <c r="AI313" s="106"/>
      <c r="AJ313" s="106"/>
      <c r="AK313" s="106"/>
      <c r="AL313" s="106"/>
      <c r="AM313" s="106"/>
      <c r="AN313" s="106"/>
      <c r="AO313" s="106"/>
      <c r="AP313" s="106"/>
      <c r="AQ313" s="106"/>
      <c r="AR313" s="106"/>
      <c r="AS313" s="106"/>
      <c r="AT313" s="106"/>
      <c r="AU313" s="106"/>
      <c r="AV313" s="106"/>
      <c r="AW313" s="106"/>
      <c r="AX313" s="106"/>
      <c r="AY313" s="106"/>
      <c r="AZ313" s="106"/>
      <c r="BA313" s="106"/>
      <c r="BB313" s="106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 s="106"/>
      <c r="BQ313" s="106"/>
      <c r="BR313" s="106"/>
      <c r="BS313" s="106"/>
      <c r="BT313" s="106"/>
      <c r="BU313" s="106"/>
    </row>
    <row r="314" spans="15:73"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6"/>
      <c r="AD314" s="106"/>
      <c r="AE314" s="106"/>
      <c r="AF314" s="106"/>
      <c r="AG314" s="106"/>
      <c r="AH314" s="106"/>
      <c r="AI314" s="106"/>
      <c r="AJ314" s="106"/>
      <c r="AK314" s="106"/>
      <c r="AL314" s="106"/>
      <c r="AM314" s="106"/>
      <c r="AN314" s="106"/>
      <c r="AO314" s="106"/>
      <c r="AP314" s="106"/>
      <c r="AQ314" s="106"/>
      <c r="AR314" s="106"/>
      <c r="AS314" s="106"/>
      <c r="AT314" s="106"/>
      <c r="AU314" s="106"/>
      <c r="AV314" s="106"/>
      <c r="AW314" s="106"/>
      <c r="AX314" s="106"/>
      <c r="AY314" s="106"/>
      <c r="AZ314" s="106"/>
      <c r="BA314" s="106"/>
      <c r="BB314" s="106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6"/>
      <c r="BR314" s="106"/>
      <c r="BS314" s="106"/>
      <c r="BT314" s="106"/>
      <c r="BU314" s="106"/>
    </row>
    <row r="315" spans="15:73"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6"/>
      <c r="AD315" s="106"/>
      <c r="AE315" s="106"/>
      <c r="AF315" s="106"/>
      <c r="AG315" s="106"/>
      <c r="AH315" s="106"/>
      <c r="AI315" s="106"/>
      <c r="AJ315" s="106"/>
      <c r="AK315" s="106"/>
      <c r="AL315" s="106"/>
      <c r="AM315" s="106"/>
      <c r="AN315" s="106"/>
      <c r="AO315" s="106"/>
      <c r="AP315" s="106"/>
      <c r="AQ315" s="106"/>
      <c r="AR315" s="106"/>
      <c r="AS315" s="106"/>
      <c r="AT315" s="106"/>
      <c r="AU315" s="106"/>
      <c r="AV315" s="106"/>
      <c r="AW315" s="106"/>
      <c r="AX315" s="106"/>
      <c r="AY315" s="106"/>
      <c r="AZ315" s="106"/>
      <c r="BA315" s="106"/>
      <c r="BB315" s="106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 s="106"/>
      <c r="BQ315" s="106"/>
      <c r="BR315" s="106"/>
      <c r="BS315" s="106"/>
      <c r="BT315" s="106"/>
      <c r="BU315" s="106"/>
    </row>
    <row r="316" spans="15:73"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6"/>
      <c r="AD316" s="106"/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  <c r="BB316" s="106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</row>
    <row r="317" spans="15:73"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6"/>
      <c r="AH317" s="106"/>
      <c r="AI317" s="106"/>
      <c r="AJ317" s="106"/>
      <c r="AK317" s="106"/>
      <c r="AL317" s="106"/>
      <c r="AM317" s="106"/>
      <c r="AN317" s="106"/>
      <c r="AO317" s="106"/>
      <c r="AP317" s="106"/>
      <c r="AQ317" s="106"/>
      <c r="AR317" s="106"/>
      <c r="AS317" s="106"/>
      <c r="AT317" s="106"/>
      <c r="AU317" s="106"/>
      <c r="AV317" s="106"/>
      <c r="AW317" s="106"/>
      <c r="AX317" s="106"/>
      <c r="AY317" s="106"/>
      <c r="AZ317" s="106"/>
      <c r="BA317" s="106"/>
      <c r="BB317" s="106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 s="106"/>
      <c r="BQ317" s="106"/>
      <c r="BR317" s="106"/>
      <c r="BS317" s="106"/>
      <c r="BT317" s="106"/>
      <c r="BU317" s="106"/>
    </row>
    <row r="318" spans="15:73"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6"/>
      <c r="AD318" s="106"/>
      <c r="AE318" s="106"/>
      <c r="AF318" s="106"/>
      <c r="AG318" s="106"/>
      <c r="AH318" s="106"/>
      <c r="AI318" s="106"/>
      <c r="AJ318" s="106"/>
      <c r="AK318" s="106"/>
      <c r="AL318" s="106"/>
      <c r="AM318" s="106"/>
      <c r="AN318" s="106"/>
      <c r="AO318" s="106"/>
      <c r="AP318" s="106"/>
      <c r="AQ318" s="106"/>
      <c r="AR318" s="106"/>
      <c r="AS318" s="106"/>
      <c r="AT318" s="106"/>
      <c r="AU318" s="106"/>
      <c r="AV318" s="106"/>
      <c r="AW318" s="106"/>
      <c r="AX318" s="106"/>
      <c r="AY318" s="106"/>
      <c r="AZ318" s="106"/>
      <c r="BA318" s="106"/>
      <c r="BB318" s="106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 s="106"/>
      <c r="BQ318" s="106"/>
      <c r="BR318" s="106"/>
      <c r="BS318" s="106"/>
      <c r="BT318" s="106"/>
      <c r="BU318" s="106"/>
    </row>
    <row r="319" spans="15:73"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/>
      <c r="AI319" s="106"/>
      <c r="AJ319" s="106"/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 s="106"/>
      <c r="BQ319" s="106"/>
      <c r="BR319" s="106"/>
      <c r="BS319" s="106"/>
      <c r="BT319" s="106"/>
      <c r="BU319" s="106"/>
    </row>
    <row r="320" spans="15:73"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6"/>
      <c r="AD320" s="106"/>
      <c r="AE320" s="106"/>
      <c r="AF320" s="106"/>
      <c r="AG320" s="106"/>
      <c r="AH320" s="106"/>
      <c r="AI320" s="106"/>
      <c r="AJ320" s="106"/>
      <c r="AK320" s="106"/>
      <c r="AL320" s="106"/>
      <c r="AM320" s="106"/>
      <c r="AN320" s="106"/>
      <c r="AO320" s="106"/>
      <c r="AP320" s="106"/>
      <c r="AQ320" s="106"/>
      <c r="AR320" s="106"/>
      <c r="AS320" s="106"/>
      <c r="AT320" s="106"/>
      <c r="AU320" s="106"/>
      <c r="AV320" s="106"/>
      <c r="AW320" s="106"/>
      <c r="AX320" s="106"/>
      <c r="AY320" s="106"/>
      <c r="AZ320" s="106"/>
      <c r="BA320" s="106"/>
      <c r="BB320" s="106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 s="106"/>
      <c r="BQ320" s="106"/>
      <c r="BR320" s="106"/>
      <c r="BS320" s="106"/>
      <c r="BT320" s="106"/>
      <c r="BU320" s="106"/>
    </row>
    <row r="321" spans="15:73"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6"/>
      <c r="AD321" s="106"/>
      <c r="AE321" s="106"/>
      <c r="AF321" s="106"/>
      <c r="AG321" s="106"/>
      <c r="AH321" s="106"/>
      <c r="AI321" s="106"/>
      <c r="AJ321" s="106"/>
      <c r="AK321" s="106"/>
      <c r="AL321" s="106"/>
      <c r="AM321" s="106"/>
      <c r="AN321" s="106"/>
      <c r="AO321" s="106"/>
      <c r="AP321" s="106"/>
      <c r="AQ321" s="106"/>
      <c r="AR321" s="106"/>
      <c r="AS321" s="106"/>
      <c r="AT321" s="106"/>
      <c r="AU321" s="106"/>
      <c r="AV321" s="106"/>
      <c r="AW321" s="106"/>
      <c r="AX321" s="106"/>
      <c r="AY321" s="106"/>
      <c r="AZ321" s="106"/>
      <c r="BA321" s="106"/>
      <c r="BB321" s="106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6"/>
      <c r="BR321" s="106"/>
      <c r="BS321" s="106"/>
      <c r="BT321" s="106"/>
      <c r="BU321" s="106"/>
    </row>
    <row r="322" spans="15:73"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106"/>
      <c r="AO322" s="106"/>
      <c r="AP322" s="106"/>
      <c r="AQ322" s="106"/>
      <c r="AR322" s="106"/>
      <c r="AS322" s="106"/>
      <c r="AT322" s="106"/>
      <c r="AU322" s="106"/>
      <c r="AV322" s="106"/>
      <c r="AW322" s="106"/>
      <c r="AX322" s="106"/>
      <c r="AY322" s="106"/>
      <c r="AZ322" s="106"/>
      <c r="BA322" s="106"/>
      <c r="BB322" s="106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 s="106"/>
      <c r="BQ322" s="106"/>
      <c r="BR322" s="106"/>
      <c r="BS322" s="106"/>
      <c r="BT322" s="106"/>
      <c r="BU322" s="106"/>
    </row>
    <row r="323" spans="15:73"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6"/>
      <c r="AD323" s="106"/>
      <c r="AE323" s="106"/>
      <c r="AF323" s="106"/>
      <c r="AG323" s="106"/>
      <c r="AH323" s="106"/>
      <c r="AI323" s="106"/>
      <c r="AJ323" s="106"/>
      <c r="AK323" s="106"/>
      <c r="AL323" s="106"/>
      <c r="AM323" s="106"/>
      <c r="AN323" s="106"/>
      <c r="AO323" s="106"/>
      <c r="AP323" s="106"/>
      <c r="AQ323" s="106"/>
      <c r="AR323" s="106"/>
      <c r="AS323" s="106"/>
      <c r="AT323" s="106"/>
      <c r="AU323" s="106"/>
      <c r="AV323" s="106"/>
      <c r="AW323" s="106"/>
      <c r="AX323" s="106"/>
      <c r="AY323" s="106"/>
      <c r="AZ323" s="106"/>
      <c r="BA323" s="106"/>
      <c r="BB323" s="106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 s="106"/>
      <c r="BQ323" s="106"/>
      <c r="BR323" s="106"/>
      <c r="BS323" s="106"/>
      <c r="BT323" s="106"/>
      <c r="BU323" s="106"/>
    </row>
    <row r="324" spans="15:73"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  <c r="Y324" s="106"/>
      <c r="Z324" s="106"/>
      <c r="AA324" s="106"/>
      <c r="AB324" s="106"/>
      <c r="AC324" s="106"/>
      <c r="AD324" s="106"/>
      <c r="AE324" s="106"/>
      <c r="AF324" s="106"/>
      <c r="AG324" s="106"/>
      <c r="AH324" s="106"/>
      <c r="AI324" s="106"/>
      <c r="AJ324" s="106"/>
      <c r="AK324" s="106"/>
      <c r="AL324" s="106"/>
      <c r="AM324" s="106"/>
      <c r="AN324" s="106"/>
      <c r="AO324" s="106"/>
      <c r="AP324" s="106"/>
      <c r="AQ324" s="106"/>
      <c r="AR324" s="106"/>
      <c r="AS324" s="106"/>
      <c r="AT324" s="106"/>
      <c r="AU324" s="106"/>
      <c r="AV324" s="106"/>
      <c r="AW324" s="106"/>
      <c r="AX324" s="106"/>
      <c r="AY324" s="106"/>
      <c r="AZ324" s="106"/>
      <c r="BA324" s="106"/>
      <c r="BB324" s="106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</row>
    <row r="325" spans="15:73"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  <c r="Y325" s="106"/>
      <c r="Z325" s="106"/>
      <c r="AA325" s="106"/>
      <c r="AB325" s="106"/>
      <c r="AC325" s="106"/>
      <c r="AD325" s="106"/>
      <c r="AE325" s="106"/>
      <c r="AF325" s="106"/>
      <c r="AG325" s="106"/>
      <c r="AH325" s="106"/>
      <c r="AI325" s="106"/>
      <c r="AJ325" s="106"/>
      <c r="AK325" s="106"/>
      <c r="AL325" s="106"/>
      <c r="AM325" s="106"/>
      <c r="AN325" s="106"/>
      <c r="AO325" s="106"/>
      <c r="AP325" s="106"/>
      <c r="AQ325" s="106"/>
      <c r="AR325" s="106"/>
      <c r="AS325" s="106"/>
      <c r="AT325" s="106"/>
      <c r="AU325" s="106"/>
      <c r="AV325" s="106"/>
      <c r="AW325" s="106"/>
      <c r="AX325" s="106"/>
      <c r="AY325" s="106"/>
      <c r="AZ325" s="106"/>
      <c r="BA325" s="106"/>
      <c r="BB325" s="106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 s="106"/>
      <c r="BQ325" s="106"/>
      <c r="BR325" s="106"/>
      <c r="BS325" s="106"/>
      <c r="BT325" s="106"/>
      <c r="BU325" s="106"/>
    </row>
    <row r="326" spans="15:73"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6"/>
      <c r="AH326" s="106"/>
      <c r="AI326" s="106"/>
      <c r="AJ326" s="106"/>
      <c r="AK326" s="106"/>
      <c r="AL326" s="106"/>
      <c r="AM326" s="106"/>
      <c r="AN326" s="106"/>
      <c r="AO326" s="106"/>
      <c r="AP326" s="106"/>
      <c r="AQ326" s="106"/>
      <c r="AR326" s="106"/>
      <c r="AS326" s="106"/>
      <c r="AT326" s="106"/>
      <c r="AU326" s="106"/>
      <c r="AV326" s="106"/>
      <c r="AW326" s="106"/>
      <c r="AX326" s="106"/>
      <c r="AY326" s="106"/>
      <c r="AZ326" s="106"/>
      <c r="BA326" s="106"/>
      <c r="BB326" s="106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 s="106"/>
      <c r="BQ326" s="106"/>
      <c r="BR326" s="106"/>
      <c r="BS326" s="106"/>
      <c r="BT326" s="106"/>
      <c r="BU326" s="106"/>
    </row>
    <row r="327" spans="15:73"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  <c r="Y327" s="106"/>
      <c r="Z327" s="106"/>
      <c r="AA327" s="106"/>
      <c r="AB327" s="106"/>
      <c r="AC327" s="106"/>
      <c r="AD327" s="106"/>
      <c r="AE327" s="106"/>
      <c r="AF327" s="106"/>
      <c r="AG327" s="106"/>
      <c r="AH327" s="106"/>
      <c r="AI327" s="106"/>
      <c r="AJ327" s="106"/>
      <c r="AK327" s="106"/>
      <c r="AL327" s="106"/>
      <c r="AM327" s="106"/>
      <c r="AN327" s="106"/>
      <c r="AO327" s="106"/>
      <c r="AP327" s="106"/>
      <c r="AQ327" s="106"/>
      <c r="AR327" s="106"/>
      <c r="AS327" s="106"/>
      <c r="AT327" s="106"/>
      <c r="AU327" s="106"/>
      <c r="AV327" s="106"/>
      <c r="AW327" s="106"/>
      <c r="AX327" s="106"/>
      <c r="AY327" s="106"/>
      <c r="AZ327" s="106"/>
      <c r="BA327" s="106"/>
      <c r="BB327" s="106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 s="106"/>
      <c r="BQ327" s="106"/>
      <c r="BR327" s="106"/>
      <c r="BS327" s="106"/>
      <c r="BT327" s="106"/>
      <c r="BU327" s="106"/>
    </row>
    <row r="328" spans="15:73">
      <c r="O328" s="106"/>
      <c r="P328" s="106"/>
      <c r="Q328" s="106"/>
      <c r="R328" s="106"/>
      <c r="S328" s="106"/>
      <c r="T328" s="106"/>
      <c r="U328" s="106"/>
      <c r="V328" s="106"/>
      <c r="W328" s="106"/>
      <c r="X328" s="106"/>
      <c r="Y328" s="106"/>
      <c r="Z328" s="106"/>
      <c r="AA328" s="106"/>
      <c r="AB328" s="106"/>
      <c r="AC328" s="106"/>
      <c r="AD328" s="106"/>
      <c r="AE328" s="106"/>
      <c r="AF328" s="106"/>
      <c r="AG328" s="106"/>
      <c r="AH328" s="106"/>
      <c r="AI328" s="106"/>
      <c r="AJ328" s="106"/>
      <c r="AK328" s="106"/>
      <c r="AL328" s="106"/>
      <c r="AM328" s="106"/>
      <c r="AN328" s="106"/>
      <c r="AO328" s="106"/>
      <c r="AP328" s="106"/>
      <c r="AQ328" s="106"/>
      <c r="AR328" s="106"/>
      <c r="AS328" s="106"/>
      <c r="AT328" s="106"/>
      <c r="AU328" s="106"/>
      <c r="AV328" s="106"/>
      <c r="AW328" s="106"/>
      <c r="AX328" s="106"/>
      <c r="AY328" s="106"/>
      <c r="AZ328" s="106"/>
      <c r="BA328" s="106"/>
      <c r="BB328" s="106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 s="106"/>
      <c r="BQ328" s="106"/>
      <c r="BR328" s="106"/>
      <c r="BS328" s="106"/>
      <c r="BT328" s="106"/>
      <c r="BU328" s="106"/>
    </row>
    <row r="329" spans="15:73"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106"/>
      <c r="AB329" s="106"/>
      <c r="AC329" s="106"/>
      <c r="AD329" s="106"/>
      <c r="AE329" s="106"/>
      <c r="AF329" s="106"/>
      <c r="AG329" s="106"/>
      <c r="AH329" s="106"/>
      <c r="AI329" s="106"/>
      <c r="AJ329" s="106"/>
      <c r="AK329" s="106"/>
      <c r="AL329" s="106"/>
      <c r="AM329" s="106"/>
      <c r="AN329" s="106"/>
      <c r="AO329" s="106"/>
      <c r="AP329" s="106"/>
      <c r="AQ329" s="106"/>
      <c r="AR329" s="106"/>
      <c r="AS329" s="106"/>
      <c r="AT329" s="106"/>
      <c r="AU329" s="106"/>
      <c r="AV329" s="106"/>
      <c r="AW329" s="106"/>
      <c r="AX329" s="106"/>
      <c r="AY329" s="106"/>
      <c r="AZ329" s="106"/>
      <c r="BA329" s="106"/>
      <c r="BB329" s="106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</row>
    <row r="330" spans="15:73">
      <c r="O330" s="106"/>
      <c r="P330" s="106"/>
      <c r="Q330" s="106"/>
      <c r="R330" s="106"/>
      <c r="S330" s="106"/>
      <c r="T330" s="106"/>
      <c r="U330" s="106"/>
      <c r="V330" s="106"/>
      <c r="W330" s="106"/>
      <c r="X330" s="106"/>
      <c r="Y330" s="106"/>
      <c r="Z330" s="106"/>
      <c r="AA330" s="106"/>
      <c r="AB330" s="106"/>
      <c r="AC330" s="106"/>
      <c r="AD330" s="106"/>
      <c r="AE330" s="106"/>
      <c r="AF330" s="106"/>
      <c r="AG330" s="106"/>
      <c r="AH330" s="106"/>
      <c r="AI330" s="106"/>
      <c r="AJ330" s="106"/>
      <c r="AK330" s="106"/>
      <c r="AL330" s="106"/>
      <c r="AM330" s="106"/>
      <c r="AN330" s="106"/>
      <c r="AO330" s="106"/>
      <c r="AP330" s="106"/>
      <c r="AQ330" s="106"/>
      <c r="AR330" s="106"/>
      <c r="AS330" s="106"/>
      <c r="AT330" s="106"/>
      <c r="AU330" s="106"/>
      <c r="AV330" s="106"/>
      <c r="AW330" s="106"/>
      <c r="AX330" s="106"/>
      <c r="AY330" s="106"/>
      <c r="AZ330" s="106"/>
      <c r="BA330" s="106"/>
      <c r="BB330" s="106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 s="106"/>
      <c r="BQ330" s="106"/>
      <c r="BR330" s="106"/>
      <c r="BS330" s="106"/>
      <c r="BT330" s="106"/>
      <c r="BU330" s="106"/>
    </row>
    <row r="331" spans="15:73"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/>
      <c r="AM331" s="106"/>
      <c r="AN331" s="106"/>
      <c r="AO331" s="106"/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 s="106"/>
      <c r="BQ331" s="106"/>
      <c r="BR331" s="106"/>
      <c r="BS331" s="106"/>
      <c r="BT331" s="106"/>
      <c r="BU331" s="106"/>
    </row>
    <row r="332" spans="15:73"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  <c r="Y332" s="106"/>
      <c r="Z332" s="106"/>
      <c r="AA332" s="106"/>
      <c r="AB332" s="106"/>
      <c r="AC332" s="106"/>
      <c r="AD332" s="106"/>
      <c r="AE332" s="106"/>
      <c r="AF332" s="106"/>
      <c r="AG332" s="106"/>
      <c r="AH332" s="106"/>
      <c r="AI332" s="106"/>
      <c r="AJ332" s="106"/>
      <c r="AK332" s="106"/>
      <c r="AL332" s="106"/>
      <c r="AM332" s="106"/>
      <c r="AN332" s="106"/>
      <c r="AO332" s="106"/>
      <c r="AP332" s="106"/>
      <c r="AQ332" s="106"/>
      <c r="AR332" s="106"/>
      <c r="AS332" s="106"/>
      <c r="AT332" s="106"/>
      <c r="AU332" s="106"/>
      <c r="AV332" s="106"/>
      <c r="AW332" s="106"/>
      <c r="AX332" s="106"/>
      <c r="AY332" s="106"/>
      <c r="AZ332" s="106"/>
      <c r="BA332" s="106"/>
      <c r="BB332" s="106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</row>
    <row r="333" spans="15:73">
      <c r="O333" s="106"/>
      <c r="P333" s="106"/>
      <c r="Q333" s="106"/>
      <c r="R333" s="106"/>
      <c r="S333" s="106"/>
      <c r="T333" s="106"/>
      <c r="U333" s="106"/>
      <c r="V333" s="106"/>
      <c r="W333" s="106"/>
      <c r="X333" s="106"/>
      <c r="Y333" s="106"/>
      <c r="Z333" s="106"/>
      <c r="AA333" s="106"/>
      <c r="AB333" s="106"/>
      <c r="AC333" s="106"/>
      <c r="AD333" s="106"/>
      <c r="AE333" s="106"/>
      <c r="AF333" s="106"/>
      <c r="AG333" s="106"/>
      <c r="AH333" s="106"/>
      <c r="AI333" s="106"/>
      <c r="AJ333" s="106"/>
      <c r="AK333" s="106"/>
      <c r="AL333" s="106"/>
      <c r="AM333" s="106"/>
      <c r="AN333" s="106"/>
      <c r="AO333" s="106"/>
      <c r="AP333" s="106"/>
      <c r="AQ333" s="106"/>
      <c r="AR333" s="106"/>
      <c r="AS333" s="106"/>
      <c r="AT333" s="106"/>
      <c r="AU333" s="106"/>
      <c r="AV333" s="106"/>
      <c r="AW333" s="106"/>
      <c r="AX333" s="106"/>
      <c r="AY333" s="106"/>
      <c r="AZ333" s="106"/>
      <c r="BA333" s="106"/>
      <c r="BB333" s="106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 s="106"/>
      <c r="BQ333" s="106"/>
      <c r="BR333" s="106"/>
      <c r="BS333" s="106"/>
      <c r="BT333" s="106"/>
      <c r="BU333" s="106"/>
    </row>
    <row r="334" spans="15:73"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  <c r="Y334" s="106"/>
      <c r="Z334" s="106"/>
      <c r="AA334" s="106"/>
      <c r="AB334" s="106"/>
      <c r="AC334" s="106"/>
      <c r="AD334" s="106"/>
      <c r="AE334" s="106"/>
      <c r="AF334" s="106"/>
      <c r="AG334" s="106"/>
      <c r="AH334" s="106"/>
      <c r="AI334" s="106"/>
      <c r="AJ334" s="106"/>
      <c r="AK334" s="106"/>
      <c r="AL334" s="106"/>
      <c r="AM334" s="106"/>
      <c r="AN334" s="106"/>
      <c r="AO334" s="106"/>
      <c r="AP334" s="106"/>
      <c r="AQ334" s="106"/>
      <c r="AR334" s="106"/>
      <c r="AS334" s="106"/>
      <c r="AT334" s="106"/>
      <c r="AU334" s="106"/>
      <c r="AV334" s="106"/>
      <c r="AW334" s="106"/>
      <c r="AX334" s="106"/>
      <c r="AY334" s="106"/>
      <c r="AZ334" s="106"/>
      <c r="BA334" s="106"/>
      <c r="BB334" s="106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 s="106"/>
      <c r="BQ334" s="106"/>
      <c r="BR334" s="106"/>
      <c r="BS334" s="106"/>
      <c r="BT334" s="106"/>
      <c r="BU334" s="106"/>
    </row>
    <row r="335" spans="15:73"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6"/>
      <c r="AH335" s="106"/>
      <c r="AI335" s="106"/>
      <c r="AJ335" s="106"/>
      <c r="AK335" s="106"/>
      <c r="AL335" s="106"/>
      <c r="AM335" s="106"/>
      <c r="AN335" s="106"/>
      <c r="AO335" s="106"/>
      <c r="AP335" s="106"/>
      <c r="AQ335" s="106"/>
      <c r="AR335" s="106"/>
      <c r="AS335" s="106"/>
      <c r="AT335" s="106"/>
      <c r="AU335" s="106"/>
      <c r="AV335" s="106"/>
      <c r="AW335" s="106"/>
      <c r="AX335" s="106"/>
      <c r="AY335" s="106"/>
      <c r="AZ335" s="106"/>
      <c r="BA335" s="106"/>
      <c r="BB335" s="106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 s="106"/>
      <c r="BQ335" s="106"/>
      <c r="BR335" s="106"/>
      <c r="BS335" s="106"/>
      <c r="BT335" s="106"/>
      <c r="BU335" s="106"/>
    </row>
    <row r="336" spans="15:73"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  <c r="Y336" s="106"/>
      <c r="Z336" s="106"/>
      <c r="AA336" s="106"/>
      <c r="AB336" s="106"/>
      <c r="AC336" s="106"/>
      <c r="AD336" s="106"/>
      <c r="AE336" s="106"/>
      <c r="AF336" s="106"/>
      <c r="AG336" s="106"/>
      <c r="AH336" s="106"/>
      <c r="AI336" s="106"/>
      <c r="AJ336" s="106"/>
      <c r="AK336" s="106"/>
      <c r="AL336" s="106"/>
      <c r="AM336" s="106"/>
      <c r="AN336" s="106"/>
      <c r="AO336" s="106"/>
      <c r="AP336" s="106"/>
      <c r="AQ336" s="106"/>
      <c r="AR336" s="106"/>
      <c r="AS336" s="106"/>
      <c r="AT336" s="106"/>
      <c r="AU336" s="106"/>
      <c r="AV336" s="106"/>
      <c r="AW336" s="106"/>
      <c r="AX336" s="106"/>
      <c r="AY336" s="106"/>
      <c r="AZ336" s="106"/>
      <c r="BA336" s="106"/>
      <c r="BB336" s="106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 s="106"/>
      <c r="BQ336" s="106"/>
      <c r="BR336" s="106"/>
      <c r="BS336" s="106"/>
      <c r="BT336" s="106"/>
      <c r="BU336" s="106"/>
    </row>
    <row r="337" spans="15:73"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  <c r="Y337" s="106"/>
      <c r="Z337" s="106"/>
      <c r="AA337" s="106"/>
      <c r="AB337" s="106"/>
      <c r="AC337" s="106"/>
      <c r="AD337" s="106"/>
      <c r="AE337" s="106"/>
      <c r="AF337" s="106"/>
      <c r="AG337" s="106"/>
      <c r="AH337" s="106"/>
      <c r="AI337" s="106"/>
      <c r="AJ337" s="106"/>
      <c r="AK337" s="106"/>
      <c r="AL337" s="106"/>
      <c r="AM337" s="106"/>
      <c r="AN337" s="106"/>
      <c r="AO337" s="106"/>
      <c r="AP337" s="106"/>
      <c r="AQ337" s="106"/>
      <c r="AR337" s="106"/>
      <c r="AS337" s="106"/>
      <c r="AT337" s="106"/>
      <c r="AU337" s="106"/>
      <c r="AV337" s="106"/>
      <c r="AW337" s="106"/>
      <c r="AX337" s="106"/>
      <c r="AY337" s="106"/>
      <c r="AZ337" s="106"/>
      <c r="BA337" s="106"/>
      <c r="BB337" s="106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 s="106"/>
      <c r="BQ337" s="106"/>
      <c r="BR337" s="106"/>
      <c r="BS337" s="106"/>
      <c r="BT337" s="106"/>
      <c r="BU337" s="106"/>
    </row>
    <row r="338" spans="15:73"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  <c r="Y338" s="106"/>
      <c r="Z338" s="106"/>
      <c r="AA338" s="106"/>
      <c r="AB338" s="106"/>
      <c r="AC338" s="106"/>
      <c r="AD338" s="106"/>
      <c r="AE338" s="106"/>
      <c r="AF338" s="106"/>
      <c r="AG338" s="106"/>
      <c r="AH338" s="106"/>
      <c r="AI338" s="106"/>
      <c r="AJ338" s="106"/>
      <c r="AK338" s="106"/>
      <c r="AL338" s="106"/>
      <c r="AM338" s="106"/>
      <c r="AN338" s="106"/>
      <c r="AO338" s="106"/>
      <c r="AP338" s="106"/>
      <c r="AQ338" s="106"/>
      <c r="AR338" s="106"/>
      <c r="AS338" s="106"/>
      <c r="AT338" s="106"/>
      <c r="AU338" s="106"/>
      <c r="AV338" s="106"/>
      <c r="AW338" s="106"/>
      <c r="AX338" s="106"/>
      <c r="AY338" s="106"/>
      <c r="AZ338" s="106"/>
      <c r="BA338" s="106"/>
      <c r="BB338" s="106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 s="106"/>
      <c r="BQ338" s="106"/>
      <c r="BR338" s="106"/>
      <c r="BS338" s="106"/>
      <c r="BT338" s="106"/>
      <c r="BU338" s="106"/>
    </row>
    <row r="339" spans="15:73"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  <c r="Y339" s="106"/>
      <c r="Z339" s="106"/>
      <c r="AA339" s="106"/>
      <c r="AB339" s="106"/>
      <c r="AC339" s="106"/>
      <c r="AD339" s="106"/>
      <c r="AE339" s="106"/>
      <c r="AF339" s="106"/>
      <c r="AG339" s="106"/>
      <c r="AH339" s="106"/>
      <c r="AI339" s="106"/>
      <c r="AJ339" s="106"/>
      <c r="AK339" s="106"/>
      <c r="AL339" s="106"/>
      <c r="AM339" s="106"/>
      <c r="AN339" s="106"/>
      <c r="AO339" s="106"/>
      <c r="AP339" s="106"/>
      <c r="AQ339" s="106"/>
      <c r="AR339" s="106"/>
      <c r="AS339" s="106"/>
      <c r="AT339" s="106"/>
      <c r="AU339" s="106"/>
      <c r="AV339" s="106"/>
      <c r="AW339" s="106"/>
      <c r="AX339" s="106"/>
      <c r="AY339" s="106"/>
      <c r="AZ339" s="106"/>
      <c r="BA339" s="106"/>
      <c r="BB339" s="106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 s="106"/>
      <c r="BQ339" s="106"/>
      <c r="BR339" s="106"/>
      <c r="BS339" s="106"/>
      <c r="BT339" s="106"/>
      <c r="BU339" s="106"/>
    </row>
    <row r="340" spans="15:73"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/>
      <c r="AP340" s="106"/>
      <c r="AQ340" s="106"/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</row>
    <row r="341" spans="15:73"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  <c r="Y341" s="106"/>
      <c r="Z341" s="106"/>
      <c r="AA341" s="106"/>
      <c r="AB341" s="106"/>
      <c r="AC341" s="106"/>
      <c r="AD341" s="106"/>
      <c r="AE341" s="106"/>
      <c r="AF341" s="106"/>
      <c r="AG341" s="106"/>
      <c r="AH341" s="106"/>
      <c r="AI341" s="106"/>
      <c r="AJ341" s="106"/>
      <c r="AK341" s="106"/>
      <c r="AL341" s="106"/>
      <c r="AM341" s="106"/>
      <c r="AN341" s="106"/>
      <c r="AO341" s="106"/>
      <c r="AP341" s="106"/>
      <c r="AQ341" s="106"/>
      <c r="AR341" s="106"/>
      <c r="AS341" s="106"/>
      <c r="AT341" s="106"/>
      <c r="AU341" s="106"/>
      <c r="AV341" s="106"/>
      <c r="AW341" s="106"/>
      <c r="AX341" s="106"/>
      <c r="AY341" s="106"/>
      <c r="AZ341" s="106"/>
      <c r="BA341" s="106"/>
      <c r="BB341" s="106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 s="106"/>
      <c r="BQ341" s="106"/>
      <c r="BR341" s="106"/>
      <c r="BS341" s="106"/>
      <c r="BT341" s="106"/>
      <c r="BU341" s="106"/>
    </row>
    <row r="342" spans="15:73"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  <c r="Y342" s="106"/>
      <c r="Z342" s="106"/>
      <c r="AA342" s="106"/>
      <c r="AB342" s="106"/>
      <c r="AC342" s="106"/>
      <c r="AD342" s="106"/>
      <c r="AE342" s="106"/>
      <c r="AF342" s="106"/>
      <c r="AG342" s="106"/>
      <c r="AH342" s="106"/>
      <c r="AI342" s="106"/>
      <c r="AJ342" s="106"/>
      <c r="AK342" s="106"/>
      <c r="AL342" s="106"/>
      <c r="AM342" s="106"/>
      <c r="AN342" s="106"/>
      <c r="AO342" s="106"/>
      <c r="AP342" s="106"/>
      <c r="AQ342" s="106"/>
      <c r="AR342" s="106"/>
      <c r="AS342" s="106"/>
      <c r="AT342" s="106"/>
      <c r="AU342" s="106"/>
      <c r="AV342" s="106"/>
      <c r="AW342" s="106"/>
      <c r="AX342" s="106"/>
      <c r="AY342" s="106"/>
      <c r="AZ342" s="106"/>
      <c r="BA342" s="106"/>
      <c r="BB342" s="106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 s="106"/>
      <c r="BQ342" s="106"/>
      <c r="BR342" s="106"/>
      <c r="BS342" s="106"/>
      <c r="BT342" s="106"/>
      <c r="BU342" s="106"/>
    </row>
    <row r="343" spans="15:73">
      <c r="O343" s="106"/>
      <c r="P343" s="106"/>
      <c r="Q343" s="106"/>
      <c r="R343" s="106"/>
      <c r="S343" s="106"/>
      <c r="T343" s="106"/>
      <c r="U343" s="106"/>
      <c r="V343" s="106"/>
      <c r="W343" s="106"/>
      <c r="X343" s="106"/>
      <c r="Y343" s="106"/>
      <c r="Z343" s="106"/>
      <c r="AA343" s="106"/>
      <c r="AB343" s="106"/>
      <c r="AC343" s="106"/>
      <c r="AD343" s="106"/>
      <c r="AE343" s="106"/>
      <c r="AF343" s="106"/>
      <c r="AG343" s="106"/>
      <c r="AH343" s="106"/>
      <c r="AI343" s="106"/>
      <c r="AJ343" s="106"/>
      <c r="AK343" s="106"/>
      <c r="AL343" s="106"/>
      <c r="AM343" s="106"/>
      <c r="AN343" s="106"/>
      <c r="AO343" s="106"/>
      <c r="AP343" s="106"/>
      <c r="AQ343" s="106"/>
      <c r="AR343" s="106"/>
      <c r="AS343" s="106"/>
      <c r="AT343" s="106"/>
      <c r="AU343" s="106"/>
      <c r="AV343" s="106"/>
      <c r="AW343" s="106"/>
      <c r="AX343" s="106"/>
      <c r="AY343" s="106"/>
      <c r="AZ343" s="106"/>
      <c r="BA343" s="106"/>
      <c r="BB343" s="106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 s="106"/>
      <c r="BQ343" s="106"/>
      <c r="BR343" s="106"/>
      <c r="BS343" s="106"/>
      <c r="BT343" s="106"/>
      <c r="BU343" s="106"/>
    </row>
    <row r="344" spans="15:73">
      <c r="O344" s="106"/>
      <c r="P344" s="106"/>
      <c r="Q344" s="106"/>
      <c r="R344" s="106"/>
      <c r="S344" s="106"/>
      <c r="T344" s="106"/>
      <c r="U344" s="106"/>
      <c r="V344" s="106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6"/>
      <c r="AH344" s="106"/>
      <c r="AI344" s="106"/>
      <c r="AJ344" s="106"/>
      <c r="AK344" s="106"/>
      <c r="AL344" s="106"/>
      <c r="AM344" s="106"/>
      <c r="AN344" s="106"/>
      <c r="AO344" s="106"/>
      <c r="AP344" s="106"/>
      <c r="AQ344" s="106"/>
      <c r="AR344" s="106"/>
      <c r="AS344" s="106"/>
      <c r="AT344" s="106"/>
      <c r="AU344" s="106"/>
      <c r="AV344" s="106"/>
      <c r="AW344" s="106"/>
      <c r="AX344" s="106"/>
      <c r="AY344" s="106"/>
      <c r="AZ344" s="106"/>
      <c r="BA344" s="106"/>
      <c r="BB344" s="106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 s="106"/>
      <c r="BQ344" s="106"/>
      <c r="BR344" s="106"/>
      <c r="BS344" s="106"/>
      <c r="BT344" s="106"/>
      <c r="BU344" s="106"/>
    </row>
    <row r="345" spans="15:73">
      <c r="O345" s="106"/>
      <c r="P345" s="106"/>
      <c r="Q345" s="106"/>
      <c r="R345" s="106"/>
      <c r="S345" s="106"/>
      <c r="T345" s="106"/>
      <c r="U345" s="106"/>
      <c r="V345" s="106"/>
      <c r="W345" s="106"/>
      <c r="X345" s="106"/>
      <c r="Y345" s="106"/>
      <c r="Z345" s="106"/>
      <c r="AA345" s="106"/>
      <c r="AB345" s="106"/>
      <c r="AC345" s="106"/>
      <c r="AD345" s="106"/>
      <c r="AE345" s="106"/>
      <c r="AF345" s="106"/>
      <c r="AG345" s="106"/>
      <c r="AH345" s="106"/>
      <c r="AI345" s="106"/>
      <c r="AJ345" s="106"/>
      <c r="AK345" s="106"/>
      <c r="AL345" s="106"/>
      <c r="AM345" s="106"/>
      <c r="AN345" s="106"/>
      <c r="AO345" s="106"/>
      <c r="AP345" s="106"/>
      <c r="AQ345" s="106"/>
      <c r="AR345" s="106"/>
      <c r="AS345" s="106"/>
      <c r="AT345" s="106"/>
      <c r="AU345" s="106"/>
      <c r="AV345" s="106"/>
      <c r="AW345" s="106"/>
      <c r="AX345" s="106"/>
      <c r="AY345" s="106"/>
      <c r="AZ345" s="106"/>
      <c r="BA345" s="106"/>
      <c r="BB345" s="106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6"/>
      <c r="BR345" s="106"/>
      <c r="BS345" s="106"/>
      <c r="BT345" s="106"/>
      <c r="BU345" s="106"/>
    </row>
    <row r="346" spans="15:73">
      <c r="O346" s="106"/>
      <c r="P346" s="106"/>
      <c r="Q346" s="106"/>
      <c r="R346" s="106"/>
      <c r="S346" s="106"/>
      <c r="T346" s="106"/>
      <c r="U346" s="106"/>
      <c r="V346" s="106"/>
      <c r="W346" s="106"/>
      <c r="X346" s="106"/>
      <c r="Y346" s="106"/>
      <c r="Z346" s="106"/>
      <c r="AA346" s="106"/>
      <c r="AB346" s="106"/>
      <c r="AC346" s="106"/>
      <c r="AD346" s="106"/>
      <c r="AE346" s="106"/>
      <c r="AF346" s="106"/>
      <c r="AG346" s="106"/>
      <c r="AH346" s="106"/>
      <c r="AI346" s="106"/>
      <c r="AJ346" s="106"/>
      <c r="AK346" s="106"/>
      <c r="AL346" s="106"/>
      <c r="AM346" s="106"/>
      <c r="AN346" s="106"/>
      <c r="AO346" s="106"/>
      <c r="AP346" s="106"/>
      <c r="AQ346" s="106"/>
      <c r="AR346" s="106"/>
      <c r="AS346" s="106"/>
      <c r="AT346" s="106"/>
      <c r="AU346" s="106"/>
      <c r="AV346" s="106"/>
      <c r="AW346" s="106"/>
      <c r="AX346" s="106"/>
      <c r="AY346" s="106"/>
      <c r="AZ346" s="106"/>
      <c r="BA346" s="106"/>
      <c r="BB346" s="106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 s="106"/>
      <c r="BQ346" s="106"/>
      <c r="BR346" s="106"/>
      <c r="BS346" s="106"/>
      <c r="BT346" s="106"/>
      <c r="BU346" s="106"/>
    </row>
    <row r="347" spans="15:73">
      <c r="O347" s="106"/>
      <c r="P347" s="106"/>
      <c r="Q347" s="106"/>
      <c r="R347" s="106"/>
      <c r="S347" s="106"/>
      <c r="T347" s="106"/>
      <c r="U347" s="106"/>
      <c r="V347" s="106"/>
      <c r="W347" s="106"/>
      <c r="X347" s="106"/>
      <c r="Y347" s="106"/>
      <c r="Z347" s="106"/>
      <c r="AA347" s="106"/>
      <c r="AB347" s="106"/>
      <c r="AC347" s="106"/>
      <c r="AD347" s="106"/>
      <c r="AE347" s="106"/>
      <c r="AF347" s="106"/>
      <c r="AG347" s="106"/>
      <c r="AH347" s="106"/>
      <c r="AI347" s="106"/>
      <c r="AJ347" s="106"/>
      <c r="AK347" s="106"/>
      <c r="AL347" s="106"/>
      <c r="AM347" s="106"/>
      <c r="AN347" s="106"/>
      <c r="AO347" s="106"/>
      <c r="AP347" s="106"/>
      <c r="AQ347" s="106"/>
      <c r="AR347" s="106"/>
      <c r="AS347" s="106"/>
      <c r="AT347" s="106"/>
      <c r="AU347" s="106"/>
      <c r="AV347" s="106"/>
      <c r="AW347" s="106"/>
      <c r="AX347" s="106"/>
      <c r="AY347" s="106"/>
      <c r="AZ347" s="106"/>
      <c r="BA347" s="106"/>
      <c r="BB347" s="106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</row>
    <row r="348" spans="15:73">
      <c r="O348" s="106"/>
      <c r="P348" s="106"/>
      <c r="Q348" s="106"/>
      <c r="R348" s="106"/>
      <c r="S348" s="106"/>
      <c r="T348" s="106"/>
      <c r="U348" s="106"/>
      <c r="V348" s="106"/>
      <c r="W348" s="106"/>
      <c r="X348" s="106"/>
      <c r="Y348" s="106"/>
      <c r="Z348" s="106"/>
      <c r="AA348" s="106"/>
      <c r="AB348" s="106"/>
      <c r="AC348" s="106"/>
      <c r="AD348" s="106"/>
      <c r="AE348" s="106"/>
      <c r="AF348" s="106"/>
      <c r="AG348" s="106"/>
      <c r="AH348" s="106"/>
      <c r="AI348" s="106"/>
      <c r="AJ348" s="106"/>
      <c r="AK348" s="106"/>
      <c r="AL348" s="106"/>
      <c r="AM348" s="106"/>
      <c r="AN348" s="106"/>
      <c r="AO348" s="106"/>
      <c r="AP348" s="106"/>
      <c r="AQ348" s="106"/>
      <c r="AR348" s="106"/>
      <c r="AS348" s="106"/>
      <c r="AT348" s="106"/>
      <c r="AU348" s="106"/>
      <c r="AV348" s="106"/>
      <c r="AW348" s="106"/>
      <c r="AX348" s="106"/>
      <c r="AY348" s="106"/>
      <c r="AZ348" s="106"/>
      <c r="BA348" s="106"/>
      <c r="BB348" s="106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 s="106"/>
      <c r="BQ348" s="106"/>
      <c r="BR348" s="106"/>
      <c r="BS348" s="106"/>
      <c r="BT348" s="106"/>
      <c r="BU348" s="106"/>
    </row>
    <row r="349" spans="15:73">
      <c r="O349" s="106"/>
      <c r="P349" s="106"/>
      <c r="Q349" s="106"/>
      <c r="R349" s="106"/>
      <c r="S349" s="106"/>
      <c r="T349" s="106"/>
      <c r="U349" s="106"/>
      <c r="V349" s="106"/>
      <c r="W349" s="106"/>
      <c r="X349" s="106"/>
      <c r="Y349" s="106"/>
      <c r="Z349" s="106"/>
      <c r="AA349" s="106"/>
      <c r="AB349" s="106"/>
      <c r="AC349" s="106"/>
      <c r="AD349" s="106"/>
      <c r="AE349" s="106"/>
      <c r="AF349" s="106"/>
      <c r="AG349" s="106"/>
      <c r="AH349" s="106"/>
      <c r="AI349" s="106"/>
      <c r="AJ349" s="106"/>
      <c r="AK349" s="106"/>
      <c r="AL349" s="106"/>
      <c r="AM349" s="106"/>
      <c r="AN349" s="106"/>
      <c r="AO349" s="106"/>
      <c r="AP349" s="106"/>
      <c r="AQ349" s="106"/>
      <c r="AR349" s="106"/>
      <c r="AS349" s="106"/>
      <c r="AT349" s="106"/>
      <c r="AU349" s="106"/>
      <c r="AV349" s="106"/>
      <c r="AW349" s="106"/>
      <c r="AX349" s="106"/>
      <c r="AY349" s="106"/>
      <c r="AZ349" s="106"/>
      <c r="BA349" s="106"/>
      <c r="BB349" s="106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 s="106"/>
      <c r="BQ349" s="106"/>
      <c r="BR349" s="106"/>
      <c r="BS349" s="106"/>
      <c r="BT349" s="106"/>
      <c r="BU349" s="106"/>
    </row>
    <row r="350" spans="15:73"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  <c r="AF350" s="106"/>
      <c r="AG350" s="106"/>
      <c r="AH350" s="106"/>
      <c r="AI350" s="106"/>
      <c r="AJ350" s="106"/>
      <c r="AK350" s="106"/>
      <c r="AL350" s="106"/>
      <c r="AM350" s="106"/>
      <c r="AN350" s="106"/>
      <c r="AO350" s="106"/>
      <c r="AP350" s="106"/>
      <c r="AQ350" s="106"/>
      <c r="AR350" s="106"/>
      <c r="AS350" s="106"/>
      <c r="AT350" s="106"/>
      <c r="AU350" s="106"/>
      <c r="AV350" s="106"/>
      <c r="AW350" s="106"/>
      <c r="AX350" s="106"/>
      <c r="AY350" s="106"/>
      <c r="AZ350" s="106"/>
      <c r="BA350" s="106"/>
      <c r="BB350" s="106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 s="106"/>
      <c r="BQ350" s="106"/>
      <c r="BR350" s="106"/>
      <c r="BS350" s="106"/>
      <c r="BT350" s="106"/>
      <c r="BU350" s="106"/>
    </row>
    <row r="351" spans="15:73"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  <c r="AF351" s="106"/>
      <c r="AG351" s="106"/>
      <c r="AH351" s="106"/>
      <c r="AI351" s="106"/>
      <c r="AJ351" s="106"/>
      <c r="AK351" s="106"/>
      <c r="AL351" s="106"/>
      <c r="AM351" s="106"/>
      <c r="AN351" s="106"/>
      <c r="AO351" s="106"/>
      <c r="AP351" s="106"/>
      <c r="AQ351" s="106"/>
      <c r="AR351" s="106"/>
      <c r="AS351" s="106"/>
      <c r="AT351" s="106"/>
      <c r="AU351" s="106"/>
      <c r="AV351" s="106"/>
      <c r="AW351" s="106"/>
      <c r="AX351" s="106"/>
      <c r="AY351" s="106"/>
      <c r="AZ351" s="106"/>
      <c r="BA351" s="106"/>
      <c r="BB351" s="106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 s="106"/>
      <c r="BQ351" s="106"/>
      <c r="BR351" s="106"/>
      <c r="BS351" s="106"/>
      <c r="BT351" s="106"/>
      <c r="BU351" s="106"/>
    </row>
    <row r="352" spans="15:73"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  <c r="AF352" s="106"/>
      <c r="AG352" s="106"/>
      <c r="AH352" s="106"/>
      <c r="AI352" s="106"/>
      <c r="AJ352" s="106"/>
      <c r="AK352" s="106"/>
      <c r="AL352" s="106"/>
      <c r="AM352" s="106"/>
      <c r="AN352" s="106"/>
      <c r="AO352" s="106"/>
      <c r="AP352" s="106"/>
      <c r="AQ352" s="106"/>
      <c r="AR352" s="106"/>
      <c r="AS352" s="106"/>
      <c r="AT352" s="106"/>
      <c r="AU352" s="106"/>
      <c r="AV352" s="106"/>
      <c r="AW352" s="106"/>
      <c r="AX352" s="106"/>
      <c r="AY352" s="106"/>
      <c r="AZ352" s="106"/>
      <c r="BA352" s="106"/>
      <c r="BB352" s="106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6"/>
      <c r="BR352" s="106"/>
      <c r="BS352" s="106"/>
      <c r="BT352" s="106"/>
      <c r="BU352" s="106"/>
    </row>
    <row r="353" spans="15:73"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6"/>
      <c r="AH353" s="106"/>
      <c r="AI353" s="106"/>
      <c r="AJ353" s="106"/>
      <c r="AK353" s="106"/>
      <c r="AL353" s="106"/>
      <c r="AM353" s="106"/>
      <c r="AN353" s="106"/>
      <c r="AO353" s="106"/>
      <c r="AP353" s="106"/>
      <c r="AQ353" s="106"/>
      <c r="AR353" s="106"/>
      <c r="AS353" s="106"/>
      <c r="AT353" s="106"/>
      <c r="AU353" s="106"/>
      <c r="AV353" s="106"/>
      <c r="AW353" s="106"/>
      <c r="AX353" s="106"/>
      <c r="AY353" s="106"/>
      <c r="AZ353" s="106"/>
      <c r="BA353" s="106"/>
      <c r="BB353" s="106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 s="106"/>
      <c r="BQ353" s="106"/>
      <c r="BR353" s="106"/>
      <c r="BS353" s="106"/>
      <c r="BT353" s="106"/>
      <c r="BU353" s="106"/>
    </row>
    <row r="354" spans="15:73">
      <c r="O354" s="106"/>
      <c r="P354" s="106"/>
      <c r="Q354" s="106"/>
      <c r="R354" s="106"/>
      <c r="S354" s="106"/>
      <c r="T354" s="106"/>
      <c r="U354" s="106"/>
      <c r="V354" s="106"/>
      <c r="W354" s="106"/>
      <c r="X354" s="106"/>
      <c r="Y354" s="106"/>
      <c r="Z354" s="106"/>
      <c r="AA354" s="106"/>
      <c r="AB354" s="106"/>
      <c r="AC354" s="106"/>
      <c r="AD354" s="106"/>
      <c r="AE354" s="106"/>
      <c r="AF354" s="106"/>
      <c r="AG354" s="106"/>
      <c r="AH354" s="106"/>
      <c r="AI354" s="106"/>
      <c r="AJ354" s="106"/>
      <c r="AK354" s="106"/>
      <c r="AL354" s="106"/>
      <c r="AM354" s="106"/>
      <c r="AN354" s="106"/>
      <c r="AO354" s="106"/>
      <c r="AP354" s="106"/>
      <c r="AQ354" s="106"/>
      <c r="AR354" s="106"/>
      <c r="AS354" s="106"/>
      <c r="AT354" s="106"/>
      <c r="AU354" s="106"/>
      <c r="AV354" s="106"/>
      <c r="AW354" s="106"/>
      <c r="AX354" s="106"/>
      <c r="AY354" s="106"/>
      <c r="AZ354" s="106"/>
      <c r="BA354" s="106"/>
      <c r="BB354" s="106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</row>
    <row r="355" spans="15:73"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/>
      <c r="AT355" s="106"/>
      <c r="AU355" s="106"/>
      <c r="AV355" s="106"/>
      <c r="AW355" s="106"/>
      <c r="AX355" s="106"/>
      <c r="AY355" s="106"/>
      <c r="AZ355" s="106"/>
      <c r="BA355" s="106"/>
      <c r="BB355" s="106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 s="106"/>
      <c r="BQ355" s="106"/>
      <c r="BR355" s="106"/>
      <c r="BS355" s="106"/>
      <c r="BT355" s="106"/>
      <c r="BU355" s="106"/>
    </row>
    <row r="356" spans="15:73"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  <c r="AA356" s="106"/>
      <c r="AB356" s="106"/>
      <c r="AC356" s="106"/>
      <c r="AD356" s="106"/>
      <c r="AE356" s="106"/>
      <c r="AF356" s="106"/>
      <c r="AG356" s="106"/>
      <c r="AH356" s="106"/>
      <c r="AI356" s="106"/>
      <c r="AJ356" s="106"/>
      <c r="AK356" s="106"/>
      <c r="AL356" s="106"/>
      <c r="AM356" s="106"/>
      <c r="AN356" s="106"/>
      <c r="AO356" s="106"/>
      <c r="AP356" s="106"/>
      <c r="AQ356" s="106"/>
      <c r="AR356" s="106"/>
      <c r="AS356" s="106"/>
      <c r="AT356" s="106"/>
      <c r="AU356" s="106"/>
      <c r="AV356" s="106"/>
      <c r="AW356" s="106"/>
      <c r="AX356" s="106"/>
      <c r="AY356" s="106"/>
      <c r="AZ356" s="106"/>
      <c r="BA356" s="106"/>
      <c r="BB356" s="106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6"/>
      <c r="BU356" s="106"/>
    </row>
    <row r="357" spans="15:73"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/>
      <c r="AT357" s="106"/>
      <c r="AU357" s="106"/>
      <c r="AV357" s="106"/>
      <c r="AW357" s="106"/>
      <c r="AX357" s="106"/>
      <c r="AY357" s="106"/>
      <c r="AZ357" s="106"/>
      <c r="BA357" s="106"/>
      <c r="BB357" s="106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 s="106"/>
      <c r="BQ357" s="106"/>
      <c r="BR357" s="106"/>
      <c r="BS357" s="106"/>
      <c r="BT357" s="106"/>
      <c r="BU357" s="106"/>
    </row>
    <row r="358" spans="15:73">
      <c r="O358" s="106"/>
      <c r="P358" s="106"/>
      <c r="Q358" s="106"/>
      <c r="R358" s="106"/>
      <c r="S358" s="106"/>
      <c r="T358" s="106"/>
      <c r="U358" s="106"/>
      <c r="V358" s="106"/>
      <c r="W358" s="106"/>
      <c r="X358" s="106"/>
      <c r="Y358" s="106"/>
      <c r="Z358" s="106"/>
      <c r="AA358" s="106"/>
      <c r="AB358" s="106"/>
      <c r="AC358" s="106"/>
      <c r="AD358" s="106"/>
      <c r="AE358" s="106"/>
      <c r="AF358" s="106"/>
      <c r="AG358" s="106"/>
      <c r="AH358" s="106"/>
      <c r="AI358" s="106"/>
      <c r="AJ358" s="106"/>
      <c r="AK358" s="106"/>
      <c r="AL358" s="106"/>
      <c r="AM358" s="106"/>
      <c r="AN358" s="106"/>
      <c r="AO358" s="106"/>
      <c r="AP358" s="106"/>
      <c r="AQ358" s="106"/>
      <c r="AR358" s="106"/>
      <c r="AS358" s="106"/>
      <c r="AT358" s="106"/>
      <c r="AU358" s="106"/>
      <c r="AV358" s="106"/>
      <c r="AW358" s="106"/>
      <c r="AX358" s="106"/>
      <c r="AY358" s="106"/>
      <c r="AZ358" s="106"/>
      <c r="BA358" s="106"/>
      <c r="BB358" s="106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 s="106"/>
      <c r="BQ358" s="106"/>
      <c r="BR358" s="106"/>
      <c r="BS358" s="106"/>
      <c r="BT358" s="106"/>
      <c r="BU358" s="106"/>
    </row>
    <row r="359" spans="15:73"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/>
      <c r="AT359" s="106"/>
      <c r="AU359" s="106"/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 s="106"/>
      <c r="BQ359" s="106"/>
      <c r="BR359" s="106"/>
      <c r="BS359" s="106"/>
      <c r="BT359" s="106"/>
      <c r="BU359" s="106"/>
    </row>
    <row r="360" spans="15:73">
      <c r="O360" s="106"/>
      <c r="P360" s="106"/>
      <c r="Q360" s="106"/>
      <c r="R360" s="106"/>
      <c r="S360" s="106"/>
      <c r="T360" s="106"/>
      <c r="U360" s="106"/>
      <c r="V360" s="106"/>
      <c r="W360" s="106"/>
      <c r="X360" s="106"/>
      <c r="Y360" s="106"/>
      <c r="Z360" s="106"/>
      <c r="AA360" s="106"/>
      <c r="AB360" s="106"/>
      <c r="AC360" s="106"/>
      <c r="AD360" s="106"/>
      <c r="AE360" s="106"/>
      <c r="AF360" s="106"/>
      <c r="AG360" s="106"/>
      <c r="AH360" s="106"/>
      <c r="AI360" s="106"/>
      <c r="AJ360" s="106"/>
      <c r="AK360" s="106"/>
      <c r="AL360" s="106"/>
      <c r="AM360" s="106"/>
      <c r="AN360" s="106"/>
      <c r="AO360" s="106"/>
      <c r="AP360" s="106"/>
      <c r="AQ360" s="106"/>
      <c r="AR360" s="106"/>
      <c r="AS360" s="106"/>
      <c r="AT360" s="106"/>
      <c r="AU360" s="106"/>
      <c r="AV360" s="106"/>
      <c r="AW360" s="106"/>
      <c r="AX360" s="106"/>
      <c r="AY360" s="106"/>
      <c r="AZ360" s="106"/>
      <c r="BA360" s="106"/>
      <c r="BB360" s="106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 s="106"/>
      <c r="BQ360" s="106"/>
      <c r="BR360" s="106"/>
      <c r="BS360" s="106"/>
      <c r="BT360" s="106"/>
      <c r="BU360" s="106"/>
    </row>
    <row r="361" spans="15:73">
      <c r="O361" s="106"/>
      <c r="P361" s="106"/>
      <c r="Q361" s="106"/>
      <c r="R361" s="106"/>
      <c r="S361" s="106"/>
      <c r="T361" s="106"/>
      <c r="U361" s="106"/>
      <c r="V361" s="106"/>
      <c r="W361" s="106"/>
      <c r="X361" s="106"/>
      <c r="Y361" s="106"/>
      <c r="Z361" s="106"/>
      <c r="AA361" s="106"/>
      <c r="AB361" s="106"/>
      <c r="AC361" s="106"/>
      <c r="AD361" s="106"/>
      <c r="AE361" s="106"/>
      <c r="AF361" s="106"/>
      <c r="AG361" s="106"/>
      <c r="AH361" s="106"/>
      <c r="AI361" s="106"/>
      <c r="AJ361" s="106"/>
      <c r="AK361" s="106"/>
      <c r="AL361" s="106"/>
      <c r="AM361" s="106"/>
      <c r="AN361" s="106"/>
      <c r="AO361" s="106"/>
      <c r="AP361" s="106"/>
      <c r="AQ361" s="106"/>
      <c r="AR361" s="106"/>
      <c r="AS361" s="106"/>
      <c r="AT361" s="106"/>
      <c r="AU361" s="106"/>
      <c r="AV361" s="106"/>
      <c r="AW361" s="106"/>
      <c r="AX361" s="106"/>
      <c r="AY361" s="106"/>
      <c r="AZ361" s="106"/>
      <c r="BA361" s="106"/>
      <c r="BB361" s="106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</row>
    <row r="362" spans="15:73">
      <c r="O362" s="106"/>
      <c r="P362" s="106"/>
      <c r="Q362" s="106"/>
      <c r="R362" s="106"/>
      <c r="S362" s="106"/>
      <c r="T362" s="106"/>
      <c r="U362" s="106"/>
      <c r="V362" s="106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6"/>
      <c r="AH362" s="106"/>
      <c r="AI362" s="106"/>
      <c r="AJ362" s="106"/>
      <c r="AK362" s="106"/>
      <c r="AL362" s="106"/>
      <c r="AM362" s="106"/>
      <c r="AN362" s="106"/>
      <c r="AO362" s="106"/>
      <c r="AP362" s="106"/>
      <c r="AQ362" s="106"/>
      <c r="AR362" s="106"/>
      <c r="AS362" s="106"/>
      <c r="AT362" s="106"/>
      <c r="AU362" s="106"/>
      <c r="AV362" s="106"/>
      <c r="AW362" s="106"/>
      <c r="AX362" s="106"/>
      <c r="AY362" s="106"/>
      <c r="AZ362" s="106"/>
      <c r="BA362" s="106"/>
      <c r="BB362" s="106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 s="106"/>
      <c r="BQ362" s="106"/>
      <c r="BR362" s="106"/>
      <c r="BS362" s="106"/>
      <c r="BT362" s="106"/>
      <c r="BU362" s="106"/>
    </row>
    <row r="363" spans="15:73">
      <c r="O363" s="106"/>
      <c r="P363" s="106"/>
      <c r="Q363" s="106"/>
      <c r="R363" s="106"/>
      <c r="S363" s="106"/>
      <c r="T363" s="106"/>
      <c r="U363" s="106"/>
      <c r="V363" s="106"/>
      <c r="W363" s="106"/>
      <c r="X363" s="106"/>
      <c r="Y363" s="106"/>
      <c r="Z363" s="106"/>
      <c r="AA363" s="106"/>
      <c r="AB363" s="106"/>
      <c r="AC363" s="106"/>
      <c r="AD363" s="106"/>
      <c r="AE363" s="106"/>
      <c r="AF363" s="106"/>
      <c r="AG363" s="106"/>
      <c r="AH363" s="106"/>
      <c r="AI363" s="106"/>
      <c r="AJ363" s="106"/>
      <c r="AK363" s="106"/>
      <c r="AL363" s="106"/>
      <c r="AM363" s="106"/>
      <c r="AN363" s="106"/>
      <c r="AO363" s="106"/>
      <c r="AP363" s="106"/>
      <c r="AQ363" s="106"/>
      <c r="AR363" s="106"/>
      <c r="AS363" s="106"/>
      <c r="AT363" s="106"/>
      <c r="AU363" s="106"/>
      <c r="AV363" s="106"/>
      <c r="AW363" s="106"/>
      <c r="AX363" s="106"/>
      <c r="AY363" s="106"/>
      <c r="AZ363" s="106"/>
      <c r="BA363" s="106"/>
      <c r="BB363" s="106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 s="106"/>
      <c r="BQ363" s="106"/>
      <c r="BR363" s="106"/>
      <c r="BS363" s="106"/>
      <c r="BT363" s="106"/>
      <c r="BU363" s="106"/>
    </row>
    <row r="364" spans="15:73">
      <c r="O364" s="106"/>
      <c r="P364" s="106"/>
      <c r="Q364" s="106"/>
      <c r="R364" s="106"/>
      <c r="S364" s="106"/>
      <c r="T364" s="106"/>
      <c r="U364" s="106"/>
      <c r="V364" s="106"/>
      <c r="W364" s="106"/>
      <c r="X364" s="106"/>
      <c r="Y364" s="106"/>
      <c r="Z364" s="106"/>
      <c r="AA364" s="106"/>
      <c r="AB364" s="106"/>
      <c r="AC364" s="106"/>
      <c r="AD364" s="106"/>
      <c r="AE364" s="106"/>
      <c r="AF364" s="106"/>
      <c r="AG364" s="106"/>
      <c r="AH364" s="106"/>
      <c r="AI364" s="106"/>
      <c r="AJ364" s="106"/>
      <c r="AK364" s="106"/>
      <c r="AL364" s="106"/>
      <c r="AM364" s="106"/>
      <c r="AN364" s="106"/>
      <c r="AO364" s="106"/>
      <c r="AP364" s="106"/>
      <c r="AQ364" s="106"/>
      <c r="AR364" s="106"/>
      <c r="AS364" s="106"/>
      <c r="AT364" s="106"/>
      <c r="AU364" s="106"/>
      <c r="AV364" s="106"/>
      <c r="AW364" s="106"/>
      <c r="AX364" s="106"/>
      <c r="AY364" s="106"/>
      <c r="AZ364" s="106"/>
      <c r="BA364" s="106"/>
      <c r="BB364" s="106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 s="106"/>
      <c r="BQ364" s="106"/>
      <c r="BR364" s="106"/>
      <c r="BS364" s="106"/>
      <c r="BT364" s="106"/>
      <c r="BU364" s="106"/>
    </row>
    <row r="365" spans="15:73">
      <c r="O365" s="106"/>
      <c r="P365" s="106"/>
      <c r="Q365" s="106"/>
      <c r="R365" s="106"/>
      <c r="S365" s="106"/>
      <c r="T365" s="106"/>
      <c r="U365" s="106"/>
      <c r="V365" s="106"/>
      <c r="W365" s="106"/>
      <c r="X365" s="106"/>
      <c r="Y365" s="106"/>
      <c r="Z365" s="106"/>
      <c r="AA365" s="106"/>
      <c r="AB365" s="106"/>
      <c r="AC365" s="106"/>
      <c r="AD365" s="106"/>
      <c r="AE365" s="106"/>
      <c r="AF365" s="106"/>
      <c r="AG365" s="106"/>
      <c r="AH365" s="106"/>
      <c r="AI365" s="106"/>
      <c r="AJ365" s="106"/>
      <c r="AK365" s="106"/>
      <c r="AL365" s="106"/>
      <c r="AM365" s="106"/>
      <c r="AN365" s="106"/>
      <c r="AO365" s="106"/>
      <c r="AP365" s="106"/>
      <c r="AQ365" s="106"/>
      <c r="AR365" s="106"/>
      <c r="AS365" s="106"/>
      <c r="AT365" s="106"/>
      <c r="AU365" s="106"/>
      <c r="AV365" s="106"/>
      <c r="AW365" s="106"/>
      <c r="AX365" s="106"/>
      <c r="AY365" s="106"/>
      <c r="AZ365" s="106"/>
      <c r="BA365" s="106"/>
      <c r="BB365" s="106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 s="106"/>
      <c r="BQ365" s="106"/>
      <c r="BR365" s="106"/>
      <c r="BS365" s="106"/>
      <c r="BT365" s="106"/>
      <c r="BU365" s="106"/>
    </row>
    <row r="366" spans="15:73">
      <c r="O366" s="106"/>
      <c r="P366" s="106"/>
      <c r="Q366" s="106"/>
      <c r="R366" s="106"/>
      <c r="S366" s="106"/>
      <c r="T366" s="106"/>
      <c r="U366" s="106"/>
      <c r="V366" s="106"/>
      <c r="W366" s="106"/>
      <c r="X366" s="106"/>
      <c r="Y366" s="106"/>
      <c r="Z366" s="106"/>
      <c r="AA366" s="106"/>
      <c r="AB366" s="106"/>
      <c r="AC366" s="106"/>
      <c r="AD366" s="106"/>
      <c r="AE366" s="106"/>
      <c r="AF366" s="106"/>
      <c r="AG366" s="106"/>
      <c r="AH366" s="106"/>
      <c r="AI366" s="106"/>
      <c r="AJ366" s="106"/>
      <c r="AK366" s="106"/>
      <c r="AL366" s="106"/>
      <c r="AM366" s="106"/>
      <c r="AN366" s="106"/>
      <c r="AO366" s="106"/>
      <c r="AP366" s="106"/>
      <c r="AQ366" s="106"/>
      <c r="AR366" s="106"/>
      <c r="AS366" s="106"/>
      <c r="AT366" s="106"/>
      <c r="AU366" s="106"/>
      <c r="AV366" s="106"/>
      <c r="AW366" s="106"/>
      <c r="AX366" s="106"/>
      <c r="AY366" s="106"/>
      <c r="AZ366" s="106"/>
      <c r="BA366" s="106"/>
      <c r="BB366" s="106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 s="106"/>
      <c r="BQ366" s="106"/>
      <c r="BR366" s="106"/>
      <c r="BS366" s="106"/>
      <c r="BT366" s="106"/>
      <c r="BU366" s="106"/>
    </row>
    <row r="367" spans="15:73"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  <c r="Y367" s="106"/>
      <c r="Z367" s="106"/>
      <c r="AA367" s="106"/>
      <c r="AB367" s="106"/>
      <c r="AC367" s="106"/>
      <c r="AD367" s="106"/>
      <c r="AE367" s="106"/>
      <c r="AF367" s="106"/>
      <c r="AG367" s="106"/>
      <c r="AH367" s="106"/>
      <c r="AI367" s="106"/>
      <c r="AJ367" s="106"/>
      <c r="AK367" s="106"/>
      <c r="AL367" s="106"/>
      <c r="AM367" s="106"/>
      <c r="AN367" s="106"/>
      <c r="AO367" s="106"/>
      <c r="AP367" s="106"/>
      <c r="AQ367" s="106"/>
      <c r="AR367" s="106"/>
      <c r="AS367" s="106"/>
      <c r="AT367" s="106"/>
      <c r="AU367" s="106"/>
      <c r="AV367" s="106"/>
      <c r="AW367" s="106"/>
      <c r="AX367" s="106"/>
      <c r="AY367" s="106"/>
      <c r="AZ367" s="106"/>
      <c r="BA367" s="106"/>
      <c r="BB367" s="106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 s="106"/>
      <c r="BQ367" s="106"/>
      <c r="BR367" s="106"/>
      <c r="BS367" s="106"/>
      <c r="BT367" s="106"/>
      <c r="BU367" s="106"/>
    </row>
    <row r="368" spans="15:73"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</row>
    <row r="369" spans="15:73"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</row>
    <row r="370" spans="15:73"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</row>
    <row r="371" spans="15:73"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</row>
    <row r="372" spans="15:73"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</row>
    <row r="373" spans="15:73"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</row>
    <row r="374" spans="15:73"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  <c r="Y374" s="106"/>
      <c r="Z374" s="106"/>
      <c r="AA374" s="106"/>
      <c r="AB374" s="106"/>
      <c r="AC374" s="106"/>
      <c r="AD374" s="106"/>
      <c r="AE374" s="106"/>
      <c r="AF374" s="106"/>
      <c r="AG374" s="106"/>
      <c r="AH374" s="106"/>
      <c r="AI374" s="106"/>
      <c r="AJ374" s="106"/>
      <c r="AK374" s="106"/>
      <c r="AL374" s="106"/>
      <c r="AM374" s="106"/>
      <c r="AN374" s="106"/>
      <c r="AO374" s="106"/>
      <c r="AP374" s="106"/>
      <c r="AQ374" s="106"/>
      <c r="AR374" s="106"/>
      <c r="AS374" s="106"/>
      <c r="AT374" s="106"/>
      <c r="AU374" s="106"/>
      <c r="AV374" s="106"/>
      <c r="AW374" s="106"/>
      <c r="AX374" s="106"/>
      <c r="AY374" s="106"/>
      <c r="AZ374" s="106"/>
      <c r="BA374" s="106"/>
      <c r="BB374" s="106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 s="106"/>
      <c r="BQ374" s="106"/>
      <c r="BR374" s="106"/>
      <c r="BS374" s="106"/>
      <c r="BT374" s="106"/>
      <c r="BU374" s="106"/>
    </row>
    <row r="375" spans="15:73">
      <c r="O375" s="106"/>
      <c r="P375" s="106"/>
      <c r="Q375" s="106"/>
      <c r="R375" s="106"/>
      <c r="S375" s="106"/>
      <c r="T375" s="106"/>
      <c r="U375" s="106"/>
      <c r="V375" s="106"/>
      <c r="W375" s="106"/>
      <c r="X375" s="106"/>
      <c r="Y375" s="106"/>
      <c r="Z375" s="106"/>
      <c r="AA375" s="106"/>
      <c r="AB375" s="106"/>
      <c r="AC375" s="106"/>
      <c r="AD375" s="106"/>
      <c r="AE375" s="106"/>
      <c r="AF375" s="106"/>
      <c r="AG375" s="106"/>
      <c r="AH375" s="106"/>
      <c r="AI375" s="106"/>
      <c r="AJ375" s="106"/>
      <c r="AK375" s="106"/>
      <c r="AL375" s="106"/>
      <c r="AM375" s="106"/>
      <c r="AN375" s="106"/>
      <c r="AO375" s="106"/>
      <c r="AP375" s="106"/>
      <c r="AQ375" s="106"/>
      <c r="AR375" s="106"/>
      <c r="AS375" s="106"/>
      <c r="AT375" s="106"/>
      <c r="AU375" s="106"/>
      <c r="AV375" s="106"/>
      <c r="AW375" s="106"/>
      <c r="AX375" s="106"/>
      <c r="AY375" s="106"/>
      <c r="AZ375" s="106"/>
      <c r="BA375" s="106"/>
      <c r="BB375" s="106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 s="106"/>
      <c r="BQ375" s="106"/>
      <c r="BR375" s="106"/>
      <c r="BS375" s="106"/>
      <c r="BT375" s="106"/>
      <c r="BU375" s="106"/>
    </row>
    <row r="376" spans="15:73">
      <c r="O376" s="106"/>
      <c r="P376" s="106"/>
      <c r="Q376" s="106"/>
      <c r="R376" s="106"/>
      <c r="S376" s="106"/>
      <c r="T376" s="106"/>
      <c r="U376" s="106"/>
      <c r="V376" s="106"/>
      <c r="W376" s="106"/>
      <c r="X376" s="106"/>
      <c r="Y376" s="106"/>
      <c r="Z376" s="106"/>
      <c r="AA376" s="106"/>
      <c r="AB376" s="106"/>
      <c r="AC376" s="106"/>
      <c r="AD376" s="106"/>
      <c r="AE376" s="106"/>
      <c r="AF376" s="106"/>
      <c r="AG376" s="106"/>
      <c r="AH376" s="106"/>
      <c r="AI376" s="106"/>
      <c r="AJ376" s="106"/>
      <c r="AK376" s="106"/>
      <c r="AL376" s="106"/>
      <c r="AM376" s="106"/>
      <c r="AN376" s="106"/>
      <c r="AO376" s="106"/>
      <c r="AP376" s="106"/>
      <c r="AQ376" s="106"/>
      <c r="AR376" s="106"/>
      <c r="AS376" s="106"/>
      <c r="AT376" s="106"/>
      <c r="AU376" s="106"/>
      <c r="AV376" s="106"/>
      <c r="AW376" s="106"/>
      <c r="AX376" s="106"/>
      <c r="AY376" s="106"/>
      <c r="AZ376" s="106"/>
      <c r="BA376" s="106"/>
      <c r="BB376" s="106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 s="106"/>
      <c r="BQ376" s="106"/>
      <c r="BR376" s="106"/>
      <c r="BS376" s="106"/>
      <c r="BT376" s="106"/>
      <c r="BU376" s="106"/>
    </row>
    <row r="377" spans="15:73">
      <c r="O377" s="106"/>
      <c r="P377" s="106"/>
      <c r="Q377" s="106"/>
      <c r="R377" s="106"/>
      <c r="S377" s="106"/>
      <c r="T377" s="106"/>
      <c r="U377" s="106"/>
      <c r="V377" s="106"/>
      <c r="W377" s="106"/>
      <c r="X377" s="106"/>
      <c r="Y377" s="106"/>
      <c r="Z377" s="106"/>
      <c r="AA377" s="106"/>
      <c r="AB377" s="106"/>
      <c r="AC377" s="106"/>
      <c r="AD377" s="106"/>
      <c r="AE377" s="106"/>
      <c r="AF377" s="106"/>
      <c r="AG377" s="106"/>
      <c r="AH377" s="106"/>
      <c r="AI377" s="106"/>
      <c r="AJ377" s="106"/>
      <c r="AK377" s="106"/>
      <c r="AL377" s="106"/>
      <c r="AM377" s="106"/>
      <c r="AN377" s="106"/>
      <c r="AO377" s="106"/>
      <c r="AP377" s="106"/>
      <c r="AQ377" s="106"/>
      <c r="AR377" s="106"/>
      <c r="AS377" s="106"/>
      <c r="AT377" s="106"/>
      <c r="AU377" s="106"/>
      <c r="AV377" s="106"/>
      <c r="AW377" s="106"/>
      <c r="AX377" s="106"/>
      <c r="AY377" s="106"/>
      <c r="AZ377" s="106"/>
      <c r="BA377" s="106"/>
      <c r="BB377" s="106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</row>
    <row r="378" spans="15:73">
      <c r="O378" s="106"/>
      <c r="P378" s="106"/>
      <c r="Q378" s="106"/>
      <c r="R378" s="106"/>
      <c r="S378" s="106"/>
      <c r="T378" s="106"/>
      <c r="U378" s="106"/>
      <c r="V378" s="106"/>
      <c r="W378" s="106"/>
      <c r="X378" s="106"/>
      <c r="Y378" s="106"/>
      <c r="Z378" s="106"/>
      <c r="AA378" s="106"/>
      <c r="AB378" s="106"/>
      <c r="AC378" s="106"/>
      <c r="AD378" s="106"/>
      <c r="AE378" s="106"/>
      <c r="AF378" s="106"/>
      <c r="AG378" s="106"/>
      <c r="AH378" s="106"/>
      <c r="AI378" s="106"/>
      <c r="AJ378" s="106"/>
      <c r="AK378" s="106"/>
      <c r="AL378" s="106"/>
      <c r="AM378" s="106"/>
      <c r="AN378" s="106"/>
      <c r="AO378" s="106"/>
      <c r="AP378" s="106"/>
      <c r="AQ378" s="106"/>
      <c r="AR378" s="106"/>
      <c r="AS378" s="106"/>
      <c r="AT378" s="106"/>
      <c r="AU378" s="106"/>
      <c r="AV378" s="106"/>
      <c r="AW378" s="106"/>
      <c r="AX378" s="106"/>
      <c r="AY378" s="106"/>
      <c r="AZ378" s="106"/>
      <c r="BA378" s="106"/>
      <c r="BB378" s="106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 s="106"/>
      <c r="BQ378" s="106"/>
      <c r="BR378" s="106"/>
      <c r="BS378" s="106"/>
      <c r="BT378" s="106"/>
      <c r="BU378" s="106"/>
    </row>
    <row r="379" spans="15:73">
      <c r="O379" s="106"/>
      <c r="P379" s="106"/>
      <c r="Q379" s="106"/>
      <c r="R379" s="106"/>
      <c r="S379" s="106"/>
      <c r="T379" s="106"/>
      <c r="U379" s="106"/>
      <c r="V379" s="106"/>
      <c r="W379" s="106"/>
      <c r="X379" s="106"/>
      <c r="Y379" s="106"/>
      <c r="Z379" s="106"/>
      <c r="AA379" s="106"/>
      <c r="AB379" s="106"/>
      <c r="AC379" s="106"/>
      <c r="AD379" s="106"/>
      <c r="AE379" s="106"/>
      <c r="AF379" s="106"/>
      <c r="AG379" s="106"/>
      <c r="AH379" s="106"/>
      <c r="AI379" s="106"/>
      <c r="AJ379" s="106"/>
      <c r="AK379" s="106"/>
      <c r="AL379" s="106"/>
      <c r="AM379" s="106"/>
      <c r="AN379" s="106"/>
      <c r="AO379" s="106"/>
      <c r="AP379" s="106"/>
      <c r="AQ379" s="106"/>
      <c r="AR379" s="106"/>
      <c r="AS379" s="106"/>
      <c r="AT379" s="106"/>
      <c r="AU379" s="106"/>
      <c r="AV379" s="106"/>
      <c r="AW379" s="106"/>
      <c r="AX379" s="106"/>
      <c r="AY379" s="106"/>
      <c r="AZ379" s="106"/>
      <c r="BA379" s="106"/>
      <c r="BB379" s="106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 s="106"/>
      <c r="BQ379" s="106"/>
      <c r="BR379" s="106"/>
      <c r="BS379" s="106"/>
      <c r="BT379" s="106"/>
      <c r="BU379" s="106"/>
    </row>
    <row r="380" spans="15:73">
      <c r="O380" s="106"/>
      <c r="P380" s="106"/>
      <c r="Q380" s="106"/>
      <c r="R380" s="106"/>
      <c r="S380" s="106"/>
      <c r="T380" s="106"/>
      <c r="U380" s="106"/>
      <c r="V380" s="106"/>
      <c r="W380" s="106"/>
      <c r="X380" s="106"/>
      <c r="Y380" s="106"/>
      <c r="Z380" s="106"/>
      <c r="AA380" s="106"/>
      <c r="AB380" s="106"/>
      <c r="AC380" s="106"/>
      <c r="AD380" s="106"/>
      <c r="AE380" s="106"/>
      <c r="AF380" s="106"/>
      <c r="AG380" s="106"/>
      <c r="AH380" s="106"/>
      <c r="AI380" s="106"/>
      <c r="AJ380" s="106"/>
      <c r="AK380" s="106"/>
      <c r="AL380" s="106"/>
      <c r="AM380" s="106"/>
      <c r="AN380" s="106"/>
      <c r="AO380" s="106"/>
      <c r="AP380" s="106"/>
      <c r="AQ380" s="106"/>
      <c r="AR380" s="106"/>
      <c r="AS380" s="106"/>
      <c r="AT380" s="106"/>
      <c r="AU380" s="106"/>
      <c r="AV380" s="106"/>
      <c r="AW380" s="106"/>
      <c r="AX380" s="106"/>
      <c r="AY380" s="106"/>
      <c r="AZ380" s="106"/>
      <c r="BA380" s="106"/>
      <c r="BB380" s="106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 s="106"/>
      <c r="BQ380" s="106"/>
      <c r="BR380" s="106"/>
      <c r="BS380" s="106"/>
      <c r="BT380" s="106"/>
      <c r="BU380" s="106"/>
    </row>
    <row r="381" spans="15:73">
      <c r="O381" s="106"/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</row>
    <row r="382" spans="15:73">
      <c r="O382" s="106"/>
      <c r="P382" s="106"/>
      <c r="Q382" s="106"/>
      <c r="R382" s="106"/>
      <c r="S382" s="106"/>
      <c r="T382" s="106"/>
      <c r="U382" s="106"/>
      <c r="V382" s="106"/>
      <c r="W382" s="106"/>
      <c r="X382" s="106"/>
      <c r="Y382" s="106"/>
      <c r="Z382" s="106"/>
      <c r="AA382" s="106"/>
      <c r="AB382" s="106"/>
      <c r="AC382" s="106"/>
      <c r="AD382" s="106"/>
      <c r="AE382" s="106"/>
      <c r="AF382" s="106"/>
      <c r="AG382" s="106"/>
      <c r="AH382" s="106"/>
      <c r="AI382" s="106"/>
      <c r="AJ382" s="106"/>
      <c r="AK382" s="106"/>
      <c r="AL382" s="106"/>
      <c r="AM382" s="106"/>
      <c r="AN382" s="106"/>
      <c r="AO382" s="106"/>
      <c r="AP382" s="106"/>
      <c r="AQ382" s="106"/>
      <c r="AR382" s="106"/>
      <c r="AS382" s="106"/>
      <c r="AT382" s="106"/>
      <c r="AU382" s="106"/>
      <c r="AV382" s="106"/>
      <c r="AW382" s="106"/>
      <c r="AX382" s="106"/>
      <c r="AY382" s="106"/>
      <c r="AZ382" s="106"/>
      <c r="BA382" s="106"/>
      <c r="BB382" s="106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 s="106"/>
      <c r="BQ382" s="106"/>
      <c r="BR382" s="106"/>
      <c r="BS382" s="106"/>
      <c r="BT382" s="106"/>
      <c r="BU382" s="106"/>
    </row>
    <row r="383" spans="15:73">
      <c r="O383" s="106"/>
      <c r="P383" s="106"/>
      <c r="Q383" s="106"/>
      <c r="R383" s="106"/>
      <c r="S383" s="106"/>
      <c r="T383" s="106"/>
      <c r="U383" s="106"/>
      <c r="V383" s="106"/>
      <c r="W383" s="106"/>
      <c r="X383" s="106"/>
      <c r="Y383" s="106"/>
      <c r="Z383" s="106"/>
      <c r="AA383" s="106"/>
      <c r="AB383" s="106"/>
      <c r="AC383" s="106"/>
      <c r="AD383" s="106"/>
      <c r="AE383" s="106"/>
      <c r="AF383" s="106"/>
      <c r="AG383" s="106"/>
      <c r="AH383" s="106"/>
      <c r="AI383" s="106"/>
      <c r="AJ383" s="106"/>
      <c r="AK383" s="106"/>
      <c r="AL383" s="106"/>
      <c r="AM383" s="106"/>
      <c r="AN383" s="106"/>
      <c r="AO383" s="106"/>
      <c r="AP383" s="106"/>
      <c r="AQ383" s="106"/>
      <c r="AR383" s="106"/>
      <c r="AS383" s="106"/>
      <c r="AT383" s="106"/>
      <c r="AU383" s="106"/>
      <c r="AV383" s="106"/>
      <c r="AW383" s="106"/>
      <c r="AX383" s="106"/>
      <c r="AY383" s="106"/>
      <c r="AZ383" s="106"/>
      <c r="BA383" s="106"/>
      <c r="BB383" s="106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 s="106"/>
      <c r="BQ383" s="106"/>
      <c r="BR383" s="106"/>
      <c r="BS383" s="106"/>
      <c r="BT383" s="106"/>
      <c r="BU383" s="106"/>
    </row>
    <row r="384" spans="15:73">
      <c r="O384" s="106"/>
      <c r="P384" s="106"/>
      <c r="Q384" s="106"/>
      <c r="R384" s="106"/>
      <c r="S384" s="106"/>
      <c r="T384" s="106"/>
      <c r="U384" s="106"/>
      <c r="V384" s="106"/>
      <c r="W384" s="106"/>
      <c r="X384" s="106"/>
      <c r="Y384" s="106"/>
      <c r="Z384" s="106"/>
      <c r="AA384" s="106"/>
      <c r="AB384" s="106"/>
      <c r="AC384" s="106"/>
      <c r="AD384" s="106"/>
      <c r="AE384" s="106"/>
      <c r="AF384" s="106"/>
      <c r="AG384" s="106"/>
      <c r="AH384" s="106"/>
      <c r="AI384" s="106"/>
      <c r="AJ384" s="106"/>
      <c r="AK384" s="106"/>
      <c r="AL384" s="106"/>
      <c r="AM384" s="106"/>
      <c r="AN384" s="106"/>
      <c r="AO384" s="106"/>
      <c r="AP384" s="106"/>
      <c r="AQ384" s="106"/>
      <c r="AR384" s="106"/>
      <c r="AS384" s="106"/>
      <c r="AT384" s="106"/>
      <c r="AU384" s="106"/>
      <c r="AV384" s="106"/>
      <c r="AW384" s="106"/>
      <c r="AX384" s="106"/>
      <c r="AY384" s="106"/>
      <c r="AZ384" s="106"/>
      <c r="BA384" s="106"/>
      <c r="BB384" s="106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</row>
    <row r="385" spans="15:73">
      <c r="O385" s="106"/>
      <c r="P385" s="106"/>
      <c r="Q385" s="106"/>
      <c r="R385" s="106"/>
      <c r="S385" s="106"/>
      <c r="T385" s="106"/>
      <c r="U385" s="106"/>
      <c r="V385" s="106"/>
      <c r="W385" s="106"/>
      <c r="X385" s="106"/>
      <c r="Y385" s="106"/>
      <c r="Z385" s="106"/>
      <c r="AA385" s="106"/>
      <c r="AB385" s="106"/>
      <c r="AC385" s="106"/>
      <c r="AD385" s="106"/>
      <c r="AE385" s="106"/>
      <c r="AF385" s="106"/>
      <c r="AG385" s="106"/>
      <c r="AH385" s="106"/>
      <c r="AI385" s="106"/>
      <c r="AJ385" s="106"/>
      <c r="AK385" s="106"/>
      <c r="AL385" s="106"/>
      <c r="AM385" s="106"/>
      <c r="AN385" s="106"/>
      <c r="AO385" s="106"/>
      <c r="AP385" s="106"/>
      <c r="AQ385" s="106"/>
      <c r="AR385" s="106"/>
      <c r="AS385" s="106"/>
      <c r="AT385" s="106"/>
      <c r="AU385" s="106"/>
      <c r="AV385" s="106"/>
      <c r="AW385" s="106"/>
      <c r="AX385" s="106"/>
      <c r="AY385" s="106"/>
      <c r="AZ385" s="106"/>
      <c r="BA385" s="106"/>
      <c r="BB385" s="106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 s="106"/>
      <c r="BQ385" s="106"/>
      <c r="BR385" s="106"/>
      <c r="BS385" s="106"/>
      <c r="BT385" s="106"/>
      <c r="BU385" s="106"/>
    </row>
    <row r="386" spans="15:73">
      <c r="O386" s="106"/>
      <c r="P386" s="106"/>
      <c r="Q386" s="106"/>
      <c r="R386" s="106"/>
      <c r="S386" s="106"/>
      <c r="T386" s="106"/>
      <c r="U386" s="106"/>
      <c r="V386" s="106"/>
      <c r="W386" s="106"/>
      <c r="X386" s="106"/>
      <c r="Y386" s="106"/>
      <c r="Z386" s="106"/>
      <c r="AA386" s="106"/>
      <c r="AB386" s="106"/>
      <c r="AC386" s="106"/>
      <c r="AD386" s="106"/>
      <c r="AE386" s="106"/>
      <c r="AF386" s="106"/>
      <c r="AG386" s="106"/>
      <c r="AH386" s="106"/>
      <c r="AI386" s="106"/>
      <c r="AJ386" s="106"/>
      <c r="AK386" s="106"/>
      <c r="AL386" s="106"/>
      <c r="AM386" s="106"/>
      <c r="AN386" s="106"/>
      <c r="AO386" s="106"/>
      <c r="AP386" s="106"/>
      <c r="AQ386" s="106"/>
      <c r="AR386" s="106"/>
      <c r="AS386" s="106"/>
      <c r="AT386" s="106"/>
      <c r="AU386" s="106"/>
      <c r="AV386" s="106"/>
      <c r="AW386" s="106"/>
      <c r="AX386" s="106"/>
      <c r="AY386" s="106"/>
      <c r="AZ386" s="106"/>
      <c r="BA386" s="106"/>
      <c r="BB386" s="106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 s="106"/>
      <c r="BQ386" s="106"/>
      <c r="BR386" s="106"/>
      <c r="BS386" s="106"/>
      <c r="BT386" s="106"/>
      <c r="BU386" s="106"/>
    </row>
    <row r="387" spans="15:73"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  <c r="AA387" s="106"/>
      <c r="AB387" s="106"/>
      <c r="AC387" s="106"/>
      <c r="AD387" s="106"/>
      <c r="AE387" s="106"/>
      <c r="AF387" s="106"/>
      <c r="AG387" s="106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06"/>
      <c r="AV387" s="106"/>
      <c r="AW387" s="106"/>
      <c r="AX387" s="106"/>
      <c r="AY387" s="106"/>
      <c r="AZ387" s="106"/>
      <c r="BA387" s="106"/>
      <c r="BB387" s="106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 s="106"/>
      <c r="BQ387" s="106"/>
      <c r="BR387" s="106"/>
      <c r="BS387" s="106"/>
      <c r="BT387" s="106"/>
      <c r="BU387" s="106"/>
    </row>
    <row r="388" spans="15:73"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  <c r="Z388" s="106"/>
      <c r="AA388" s="106"/>
      <c r="AB388" s="106"/>
      <c r="AC388" s="106"/>
      <c r="AD388" s="106"/>
      <c r="AE388" s="106"/>
      <c r="AF388" s="106"/>
      <c r="AG388" s="106"/>
      <c r="AH388" s="106"/>
      <c r="AI388" s="106"/>
      <c r="AJ388" s="106"/>
      <c r="AK388" s="106"/>
      <c r="AL388" s="106"/>
      <c r="AM388" s="106"/>
      <c r="AN388" s="106"/>
      <c r="AO388" s="106"/>
      <c r="AP388" s="106"/>
      <c r="AQ388" s="106"/>
      <c r="AR388" s="106"/>
      <c r="AS388" s="106"/>
      <c r="AT388" s="106"/>
      <c r="AU388" s="106"/>
      <c r="AV388" s="106"/>
      <c r="AW388" s="106"/>
      <c r="AX388" s="106"/>
      <c r="AY388" s="106"/>
      <c r="AZ388" s="106"/>
      <c r="BA388" s="106"/>
      <c r="BB388" s="106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 s="106"/>
      <c r="BQ388" s="106"/>
      <c r="BR388" s="106"/>
      <c r="BS388" s="106"/>
      <c r="BT388" s="106"/>
      <c r="BU388" s="106"/>
    </row>
    <row r="389" spans="15:73"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  <c r="Y389" s="106"/>
      <c r="Z389" s="106"/>
      <c r="AA389" s="106"/>
      <c r="AB389" s="106"/>
      <c r="AC389" s="106"/>
      <c r="AD389" s="106"/>
      <c r="AE389" s="106"/>
      <c r="AF389" s="106"/>
      <c r="AG389" s="106"/>
      <c r="AH389" s="106"/>
      <c r="AI389" s="106"/>
      <c r="AJ389" s="106"/>
      <c r="AK389" s="106"/>
      <c r="AL389" s="106"/>
      <c r="AM389" s="106"/>
      <c r="AN389" s="106"/>
      <c r="AO389" s="106"/>
      <c r="AP389" s="106"/>
      <c r="AQ389" s="106"/>
      <c r="AR389" s="106"/>
      <c r="AS389" s="106"/>
      <c r="AT389" s="106"/>
      <c r="AU389" s="106"/>
      <c r="AV389" s="106"/>
      <c r="AW389" s="106"/>
      <c r="AX389" s="106"/>
      <c r="AY389" s="106"/>
      <c r="AZ389" s="106"/>
      <c r="BA389" s="106"/>
      <c r="BB389" s="106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 s="106"/>
      <c r="BQ389" s="106"/>
      <c r="BR389" s="106"/>
      <c r="BS389" s="106"/>
      <c r="BT389" s="106"/>
      <c r="BU389" s="106"/>
    </row>
    <row r="390" spans="15:73"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  <c r="Y390" s="106"/>
      <c r="Z390" s="106"/>
      <c r="AA390" s="106"/>
      <c r="AB390" s="106"/>
      <c r="AC390" s="106"/>
      <c r="AD390" s="106"/>
      <c r="AE390" s="106"/>
      <c r="AF390" s="106"/>
      <c r="AG390" s="106"/>
      <c r="AH390" s="106"/>
      <c r="AI390" s="106"/>
      <c r="AJ390" s="106"/>
      <c r="AK390" s="106"/>
      <c r="AL390" s="106"/>
      <c r="AM390" s="106"/>
      <c r="AN390" s="106"/>
      <c r="AO390" s="106"/>
      <c r="AP390" s="106"/>
      <c r="AQ390" s="106"/>
      <c r="AR390" s="106"/>
      <c r="AS390" s="106"/>
      <c r="AT390" s="106"/>
      <c r="AU390" s="106"/>
      <c r="AV390" s="106"/>
      <c r="AW390" s="106"/>
      <c r="AX390" s="106"/>
      <c r="AY390" s="106"/>
      <c r="AZ390" s="106"/>
      <c r="BA390" s="106"/>
      <c r="BB390" s="106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 s="106"/>
      <c r="BQ390" s="106"/>
      <c r="BR390" s="106"/>
      <c r="BS390" s="106"/>
      <c r="BT390" s="106"/>
      <c r="BU390" s="106"/>
    </row>
    <row r="391" spans="15:73"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  <c r="AA391" s="106"/>
      <c r="AB391" s="106"/>
      <c r="AC391" s="106"/>
      <c r="AD391" s="106"/>
      <c r="AE391" s="106"/>
      <c r="AF391" s="106"/>
      <c r="AG391" s="106"/>
      <c r="AH391" s="106"/>
      <c r="AI391" s="106"/>
      <c r="AJ391" s="106"/>
      <c r="AK391" s="106"/>
      <c r="AL391" s="106"/>
      <c r="AM391" s="106"/>
      <c r="AN391" s="106"/>
      <c r="AO391" s="106"/>
      <c r="AP391" s="106"/>
      <c r="AQ391" s="106"/>
      <c r="AR391" s="106"/>
      <c r="AS391" s="106"/>
      <c r="AT391" s="106"/>
      <c r="AU391" s="106"/>
      <c r="AV391" s="106"/>
      <c r="AW391" s="106"/>
      <c r="AX391" s="106"/>
      <c r="AY391" s="106"/>
      <c r="AZ391" s="106"/>
      <c r="BA391" s="106"/>
      <c r="BB391" s="106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</row>
    <row r="392" spans="15:73">
      <c r="O392" s="106"/>
      <c r="P392" s="106"/>
      <c r="Q392" s="106"/>
      <c r="R392" s="106"/>
      <c r="S392" s="106"/>
      <c r="T392" s="106"/>
      <c r="U392" s="106"/>
      <c r="V392" s="106"/>
      <c r="W392" s="106"/>
      <c r="X392" s="106"/>
      <c r="Y392" s="106"/>
      <c r="Z392" s="106"/>
      <c r="AA392" s="106"/>
      <c r="AB392" s="106"/>
      <c r="AC392" s="106"/>
      <c r="AD392" s="106"/>
      <c r="AE392" s="106"/>
      <c r="AF392" s="106"/>
      <c r="AG392" s="106"/>
      <c r="AH392" s="106"/>
      <c r="AI392" s="106"/>
      <c r="AJ392" s="106"/>
      <c r="AK392" s="106"/>
      <c r="AL392" s="106"/>
      <c r="AM392" s="106"/>
      <c r="AN392" s="106"/>
      <c r="AO392" s="106"/>
      <c r="AP392" s="106"/>
      <c r="AQ392" s="106"/>
      <c r="AR392" s="106"/>
      <c r="AS392" s="106"/>
      <c r="AT392" s="106"/>
      <c r="AU392" s="106"/>
      <c r="AV392" s="106"/>
      <c r="AW392" s="106"/>
      <c r="AX392" s="106"/>
      <c r="AY392" s="106"/>
      <c r="AZ392" s="106"/>
      <c r="BA392" s="106"/>
      <c r="BB392" s="106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 s="106"/>
      <c r="BQ392" s="106"/>
      <c r="BR392" s="106"/>
      <c r="BS392" s="106"/>
      <c r="BT392" s="106"/>
      <c r="BU392" s="106"/>
    </row>
    <row r="393" spans="15:73">
      <c r="O393" s="106"/>
      <c r="P393" s="106"/>
      <c r="Q393" s="106"/>
      <c r="R393" s="106"/>
      <c r="S393" s="106"/>
      <c r="T393" s="106"/>
      <c r="U393" s="106"/>
      <c r="V393" s="106"/>
      <c r="W393" s="106"/>
      <c r="X393" s="106"/>
      <c r="Y393" s="106"/>
      <c r="Z393" s="106"/>
      <c r="AA393" s="106"/>
      <c r="AB393" s="106"/>
      <c r="AC393" s="106"/>
      <c r="AD393" s="106"/>
      <c r="AE393" s="106"/>
      <c r="AF393" s="106"/>
      <c r="AG393" s="106"/>
      <c r="AH393" s="106"/>
      <c r="AI393" s="106"/>
      <c r="AJ393" s="106"/>
      <c r="AK393" s="106"/>
      <c r="AL393" s="106"/>
      <c r="AM393" s="106"/>
      <c r="AN393" s="106"/>
      <c r="AO393" s="106"/>
      <c r="AP393" s="106"/>
      <c r="AQ393" s="106"/>
      <c r="AR393" s="106"/>
      <c r="AS393" s="106"/>
      <c r="AT393" s="106"/>
      <c r="AU393" s="106"/>
      <c r="AV393" s="106"/>
      <c r="AW393" s="106"/>
      <c r="AX393" s="106"/>
      <c r="AY393" s="106"/>
      <c r="AZ393" s="106"/>
      <c r="BA393" s="106"/>
      <c r="BB393" s="106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 s="106"/>
      <c r="BQ393" s="106"/>
      <c r="BR393" s="106"/>
      <c r="BS393" s="106"/>
      <c r="BT393" s="106"/>
      <c r="BU393" s="106"/>
    </row>
    <row r="394" spans="15:73"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  <c r="AF394" s="106"/>
      <c r="AG394" s="106"/>
      <c r="AH394" s="106"/>
      <c r="AI394" s="106"/>
      <c r="AJ394" s="106"/>
      <c r="AK394" s="106"/>
      <c r="AL394" s="106"/>
      <c r="AM394" s="106"/>
      <c r="AN394" s="106"/>
      <c r="AO394" s="106"/>
      <c r="AP394" s="106"/>
      <c r="AQ394" s="106"/>
      <c r="AR394" s="106"/>
      <c r="AS394" s="106"/>
      <c r="AT394" s="106"/>
      <c r="AU394" s="106"/>
      <c r="AV394" s="106"/>
      <c r="AW394" s="106"/>
      <c r="AX394" s="106"/>
      <c r="AY394" s="106"/>
      <c r="AZ394" s="106"/>
      <c r="BA394" s="106"/>
      <c r="BB394" s="106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 s="106"/>
      <c r="BQ394" s="106"/>
      <c r="BR394" s="106"/>
      <c r="BS394" s="106"/>
      <c r="BT394" s="106"/>
      <c r="BU394" s="106"/>
    </row>
    <row r="395" spans="15:73"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  <c r="AF395" s="106"/>
      <c r="AG395" s="106"/>
      <c r="AH395" s="106"/>
      <c r="AI395" s="106"/>
      <c r="AJ395" s="106"/>
      <c r="AK395" s="106"/>
      <c r="AL395" s="106"/>
      <c r="AM395" s="106"/>
      <c r="AN395" s="106"/>
      <c r="AO395" s="106"/>
      <c r="AP395" s="106"/>
      <c r="AQ395" s="106"/>
      <c r="AR395" s="106"/>
      <c r="AS395" s="106"/>
      <c r="AT395" s="106"/>
      <c r="AU395" s="106"/>
      <c r="AV395" s="106"/>
      <c r="AW395" s="106"/>
      <c r="AX395" s="106"/>
      <c r="AY395" s="106"/>
      <c r="AZ395" s="106"/>
      <c r="BA395" s="106"/>
      <c r="BB395" s="106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 s="106"/>
      <c r="BQ395" s="106"/>
      <c r="BR395" s="106"/>
      <c r="BS395" s="106"/>
      <c r="BT395" s="106"/>
      <c r="BU395" s="106"/>
    </row>
    <row r="396" spans="15:73"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  <c r="AF396" s="106"/>
      <c r="AG396" s="106"/>
      <c r="AH396" s="106"/>
      <c r="AI396" s="106"/>
      <c r="AJ396" s="106"/>
      <c r="AK396" s="106"/>
      <c r="AL396" s="106"/>
      <c r="AM396" s="106"/>
      <c r="AN396" s="106"/>
      <c r="AO396" s="106"/>
      <c r="AP396" s="106"/>
      <c r="AQ396" s="106"/>
      <c r="AR396" s="106"/>
      <c r="AS396" s="106"/>
      <c r="AT396" s="106"/>
      <c r="AU396" s="106"/>
      <c r="AV396" s="106"/>
      <c r="AW396" s="106"/>
      <c r="AX396" s="106"/>
      <c r="AY396" s="106"/>
      <c r="AZ396" s="106"/>
      <c r="BA396" s="106"/>
      <c r="BB396" s="106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 s="106"/>
      <c r="BQ396" s="106"/>
      <c r="BR396" s="106"/>
      <c r="BS396" s="106"/>
      <c r="BT396" s="106"/>
      <c r="BU396" s="106"/>
    </row>
    <row r="397" spans="15:73"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  <c r="AF397" s="106"/>
      <c r="AG397" s="106"/>
      <c r="AH397" s="106"/>
      <c r="AI397" s="106"/>
      <c r="AJ397" s="106"/>
      <c r="AK397" s="106"/>
      <c r="AL397" s="106"/>
      <c r="AM397" s="106"/>
      <c r="AN397" s="106"/>
      <c r="AO397" s="106"/>
      <c r="AP397" s="106"/>
      <c r="AQ397" s="106"/>
      <c r="AR397" s="106"/>
      <c r="AS397" s="106"/>
      <c r="AT397" s="106"/>
      <c r="AU397" s="106"/>
      <c r="AV397" s="106"/>
      <c r="AW397" s="106"/>
      <c r="AX397" s="106"/>
      <c r="AY397" s="106"/>
      <c r="AZ397" s="106"/>
      <c r="BA397" s="106"/>
      <c r="BB397" s="106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 s="106"/>
      <c r="BQ397" s="106"/>
      <c r="BR397" s="106"/>
      <c r="BS397" s="106"/>
      <c r="BT397" s="106"/>
      <c r="BU397" s="106"/>
    </row>
    <row r="398" spans="15:73">
      <c r="O398" s="106"/>
      <c r="P398" s="106"/>
      <c r="Q398" s="106"/>
      <c r="R398" s="106"/>
      <c r="S398" s="106"/>
      <c r="T398" s="106"/>
      <c r="U398" s="106"/>
      <c r="V398" s="106"/>
      <c r="W398" s="106"/>
      <c r="X398" s="106"/>
      <c r="Y398" s="106"/>
      <c r="Z398" s="106"/>
      <c r="AA398" s="106"/>
      <c r="AB398" s="106"/>
      <c r="AC398" s="106"/>
      <c r="AD398" s="106"/>
      <c r="AE398" s="106"/>
      <c r="AF398" s="106"/>
      <c r="AG398" s="106"/>
      <c r="AH398" s="106"/>
      <c r="AI398" s="106"/>
      <c r="AJ398" s="106"/>
      <c r="AK398" s="106"/>
      <c r="AL398" s="106"/>
      <c r="AM398" s="106"/>
      <c r="AN398" s="106"/>
      <c r="AO398" s="106"/>
      <c r="AP398" s="106"/>
      <c r="AQ398" s="106"/>
      <c r="AR398" s="106"/>
      <c r="AS398" s="106"/>
      <c r="AT398" s="106"/>
      <c r="AU398" s="106"/>
      <c r="AV398" s="106"/>
      <c r="AW398" s="106"/>
      <c r="AX398" s="106"/>
      <c r="AY398" s="106"/>
      <c r="AZ398" s="106"/>
      <c r="BA398" s="106"/>
      <c r="BB398" s="106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 s="106"/>
      <c r="BQ398" s="106"/>
      <c r="BR398" s="106"/>
      <c r="BS398" s="106"/>
      <c r="BT398" s="106"/>
      <c r="BU398" s="106"/>
    </row>
    <row r="399" spans="15:73">
      <c r="O399" s="106"/>
      <c r="P399" s="106"/>
      <c r="Q399" s="106"/>
      <c r="R399" s="106"/>
      <c r="S399" s="106"/>
      <c r="T399" s="106"/>
      <c r="U399" s="106"/>
      <c r="V399" s="106"/>
      <c r="W399" s="106"/>
      <c r="X399" s="106"/>
      <c r="Y399" s="106"/>
      <c r="Z399" s="106"/>
      <c r="AA399" s="106"/>
      <c r="AB399" s="106"/>
      <c r="AC399" s="106"/>
      <c r="AD399" s="106"/>
      <c r="AE399" s="106"/>
      <c r="AF399" s="106"/>
      <c r="AG399" s="106"/>
      <c r="AH399" s="106"/>
      <c r="AI399" s="106"/>
      <c r="AJ399" s="106"/>
      <c r="AK399" s="106"/>
      <c r="AL399" s="106"/>
      <c r="AM399" s="106"/>
      <c r="AN399" s="106"/>
      <c r="AO399" s="106"/>
      <c r="AP399" s="106"/>
      <c r="AQ399" s="106"/>
      <c r="AR399" s="106"/>
      <c r="AS399" s="106"/>
      <c r="AT399" s="106"/>
      <c r="AU399" s="106"/>
      <c r="AV399" s="106"/>
      <c r="AW399" s="106"/>
      <c r="AX399" s="106"/>
      <c r="AY399" s="106"/>
      <c r="AZ399" s="106"/>
      <c r="BA399" s="106"/>
      <c r="BB399" s="106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 s="106"/>
      <c r="BQ399" s="106"/>
      <c r="BR399" s="106"/>
      <c r="BS399" s="106"/>
      <c r="BT399" s="106"/>
      <c r="BU399" s="106"/>
    </row>
    <row r="400" spans="15:73">
      <c r="O400" s="106"/>
      <c r="P400" s="106"/>
      <c r="Q400" s="106"/>
      <c r="R400" s="106"/>
      <c r="S400" s="106"/>
      <c r="T400" s="106"/>
      <c r="U400" s="106"/>
      <c r="V400" s="106"/>
      <c r="W400" s="106"/>
      <c r="X400" s="106"/>
      <c r="Y400" s="106"/>
      <c r="Z400" s="106"/>
      <c r="AA400" s="106"/>
      <c r="AB400" s="106"/>
      <c r="AC400" s="106"/>
      <c r="AD400" s="106"/>
      <c r="AE400" s="106"/>
      <c r="AF400" s="106"/>
      <c r="AG400" s="106"/>
      <c r="AH400" s="106"/>
      <c r="AI400" s="106"/>
      <c r="AJ400" s="106"/>
      <c r="AK400" s="106"/>
      <c r="AL400" s="106"/>
      <c r="AM400" s="106"/>
      <c r="AN400" s="106"/>
      <c r="AO400" s="106"/>
      <c r="AP400" s="106"/>
      <c r="AQ400" s="106"/>
      <c r="AR400" s="106"/>
      <c r="AS400" s="106"/>
      <c r="AT400" s="106"/>
      <c r="AU400" s="106"/>
      <c r="AV400" s="106"/>
      <c r="AW400" s="106"/>
      <c r="AX400" s="106"/>
      <c r="AY400" s="106"/>
      <c r="AZ400" s="106"/>
      <c r="BA400" s="106"/>
      <c r="BB400" s="106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 s="106"/>
      <c r="BQ400" s="106"/>
      <c r="BR400" s="106"/>
      <c r="BS400" s="106"/>
      <c r="BT400" s="106"/>
      <c r="BU400" s="106"/>
    </row>
    <row r="401" spans="15:73">
      <c r="O401" s="106"/>
      <c r="P401" s="106"/>
      <c r="Q401" s="106"/>
      <c r="R401" s="106"/>
      <c r="S401" s="106"/>
      <c r="T401" s="106"/>
      <c r="U401" s="106"/>
      <c r="V401" s="106"/>
      <c r="W401" s="106"/>
      <c r="X401" s="106"/>
      <c r="Y401" s="106"/>
      <c r="Z401" s="106"/>
      <c r="AA401" s="106"/>
      <c r="AB401" s="106"/>
      <c r="AC401" s="106"/>
      <c r="AD401" s="106"/>
      <c r="AE401" s="106"/>
      <c r="AF401" s="106"/>
      <c r="AG401" s="106"/>
      <c r="AH401" s="106"/>
      <c r="AI401" s="106"/>
      <c r="AJ401" s="106"/>
      <c r="AK401" s="106"/>
      <c r="AL401" s="106"/>
      <c r="AM401" s="106"/>
      <c r="AN401" s="106"/>
      <c r="AO401" s="106"/>
      <c r="AP401" s="106"/>
      <c r="AQ401" s="106"/>
      <c r="AR401" s="106"/>
      <c r="AS401" s="106"/>
      <c r="AT401" s="106"/>
      <c r="AU401" s="106"/>
      <c r="AV401" s="106"/>
      <c r="AW401" s="106"/>
      <c r="AX401" s="106"/>
      <c r="AY401" s="106"/>
      <c r="AZ401" s="106"/>
      <c r="BA401" s="106"/>
      <c r="BB401" s="106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 s="106"/>
      <c r="BQ401" s="106"/>
      <c r="BR401" s="106"/>
      <c r="BS401" s="106"/>
      <c r="BT401" s="106"/>
      <c r="BU401" s="106"/>
    </row>
    <row r="402" spans="15:73">
      <c r="O402" s="106"/>
      <c r="P402" s="106"/>
      <c r="Q402" s="106"/>
      <c r="R402" s="106"/>
      <c r="S402" s="106"/>
      <c r="T402" s="106"/>
      <c r="U402" s="106"/>
      <c r="V402" s="106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106"/>
      <c r="AK402" s="106"/>
      <c r="AL402" s="106"/>
      <c r="AM402" s="106"/>
      <c r="AN402" s="106"/>
      <c r="AO402" s="106"/>
      <c r="AP402" s="106"/>
      <c r="AQ402" s="106"/>
      <c r="AR402" s="106"/>
      <c r="AS402" s="106"/>
      <c r="AT402" s="106"/>
      <c r="AU402" s="106"/>
      <c r="AV402" s="106"/>
      <c r="AW402" s="106"/>
      <c r="AX402" s="106"/>
      <c r="AY402" s="106"/>
      <c r="AZ402" s="106"/>
      <c r="BA402" s="106"/>
      <c r="BB402" s="106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 s="106"/>
      <c r="BQ402" s="106"/>
      <c r="BR402" s="106"/>
      <c r="BS402" s="106"/>
      <c r="BT402" s="106"/>
      <c r="BU402" s="106"/>
    </row>
    <row r="403" spans="15:73">
      <c r="O403" s="106"/>
      <c r="P403" s="106"/>
      <c r="Q403" s="106"/>
      <c r="R403" s="106"/>
      <c r="S403" s="106"/>
      <c r="T403" s="106"/>
      <c r="U403" s="106"/>
      <c r="V403" s="106"/>
      <c r="W403" s="106"/>
      <c r="X403" s="106"/>
      <c r="Y403" s="106"/>
      <c r="Z403" s="106"/>
      <c r="AA403" s="106"/>
      <c r="AB403" s="106"/>
      <c r="AC403" s="106"/>
      <c r="AD403" s="106"/>
      <c r="AE403" s="106"/>
      <c r="AF403" s="106"/>
      <c r="AG403" s="106"/>
      <c r="AH403" s="106"/>
      <c r="AI403" s="106"/>
      <c r="AJ403" s="106"/>
      <c r="AK403" s="106"/>
      <c r="AL403" s="106"/>
      <c r="AM403" s="106"/>
      <c r="AN403" s="106"/>
      <c r="AO403" s="106"/>
      <c r="AP403" s="106"/>
      <c r="AQ403" s="106"/>
      <c r="AR403" s="106"/>
      <c r="AS403" s="106"/>
      <c r="AT403" s="106"/>
      <c r="AU403" s="106"/>
      <c r="AV403" s="106"/>
      <c r="AW403" s="106"/>
      <c r="AX403" s="106"/>
      <c r="AY403" s="106"/>
      <c r="AZ403" s="106"/>
      <c r="BA403" s="106"/>
      <c r="BB403" s="106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 s="106"/>
      <c r="BQ403" s="106"/>
      <c r="BR403" s="106"/>
      <c r="BS403" s="106"/>
      <c r="BT403" s="106"/>
      <c r="BU403" s="106"/>
    </row>
    <row r="404" spans="15:73"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  <c r="Y404" s="106"/>
      <c r="Z404" s="106"/>
      <c r="AA404" s="106"/>
      <c r="AB404" s="106"/>
      <c r="AC404" s="106"/>
      <c r="AD404" s="106"/>
      <c r="AE404" s="106"/>
      <c r="AF404" s="106"/>
      <c r="AG404" s="106"/>
      <c r="AH404" s="106"/>
      <c r="AI404" s="106"/>
      <c r="AJ404" s="106"/>
      <c r="AK404" s="106"/>
      <c r="AL404" s="106"/>
      <c r="AM404" s="106"/>
      <c r="AN404" s="106"/>
      <c r="AO404" s="106"/>
      <c r="AP404" s="106"/>
      <c r="AQ404" s="106"/>
      <c r="AR404" s="106"/>
      <c r="AS404" s="106"/>
      <c r="AT404" s="106"/>
      <c r="AU404" s="106"/>
      <c r="AV404" s="106"/>
      <c r="AW404" s="106"/>
      <c r="AX404" s="106"/>
      <c r="AY404" s="106"/>
      <c r="AZ404" s="106"/>
      <c r="BA404" s="106"/>
      <c r="BB404" s="106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 s="106"/>
      <c r="BQ404" s="106"/>
      <c r="BR404" s="106"/>
      <c r="BS404" s="106"/>
      <c r="BT404" s="106"/>
      <c r="BU404" s="106"/>
    </row>
    <row r="405" spans="15:73">
      <c r="O405" s="106"/>
      <c r="P405" s="106"/>
      <c r="Q405" s="106"/>
      <c r="R405" s="106"/>
      <c r="S405" s="106"/>
      <c r="T405" s="106"/>
      <c r="U405" s="106"/>
      <c r="V405" s="106"/>
      <c r="W405" s="106"/>
      <c r="X405" s="106"/>
      <c r="Y405" s="106"/>
      <c r="Z405" s="106"/>
      <c r="AA405" s="106"/>
      <c r="AB405" s="106"/>
      <c r="AC405" s="106"/>
      <c r="AD405" s="106"/>
      <c r="AE405" s="106"/>
      <c r="AF405" s="106"/>
      <c r="AG405" s="106"/>
      <c r="AH405" s="106"/>
      <c r="AI405" s="106"/>
      <c r="AJ405" s="106"/>
      <c r="AK405" s="106"/>
      <c r="AL405" s="106"/>
      <c r="AM405" s="106"/>
      <c r="AN405" s="106"/>
      <c r="AO405" s="106"/>
      <c r="AP405" s="106"/>
      <c r="AQ405" s="106"/>
      <c r="AR405" s="106"/>
      <c r="AS405" s="106"/>
      <c r="AT405" s="106"/>
      <c r="AU405" s="106"/>
      <c r="AV405" s="106"/>
      <c r="AW405" s="106"/>
      <c r="AX405" s="106"/>
      <c r="AY405" s="106"/>
      <c r="AZ405" s="106"/>
      <c r="BA405" s="106"/>
      <c r="BB405" s="106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 s="106"/>
      <c r="BQ405" s="106"/>
      <c r="BR405" s="106"/>
      <c r="BS405" s="106"/>
      <c r="BT405" s="106"/>
      <c r="BU405" s="106"/>
    </row>
    <row r="406" spans="15:73">
      <c r="O406" s="106"/>
      <c r="P406" s="106"/>
      <c r="Q406" s="106"/>
      <c r="R406" s="106"/>
      <c r="S406" s="106"/>
      <c r="T406" s="106"/>
      <c r="U406" s="106"/>
      <c r="V406" s="106"/>
      <c r="W406" s="106"/>
      <c r="X406" s="106"/>
      <c r="Y406" s="106"/>
      <c r="Z406" s="106"/>
      <c r="AA406" s="106"/>
      <c r="AB406" s="106"/>
      <c r="AC406" s="106"/>
      <c r="AD406" s="106"/>
      <c r="AE406" s="106"/>
      <c r="AF406" s="106"/>
      <c r="AG406" s="106"/>
      <c r="AH406" s="106"/>
      <c r="AI406" s="106"/>
      <c r="AJ406" s="106"/>
      <c r="AK406" s="106"/>
      <c r="AL406" s="106"/>
      <c r="AM406" s="106"/>
      <c r="AN406" s="106"/>
      <c r="AO406" s="106"/>
      <c r="AP406" s="106"/>
      <c r="AQ406" s="106"/>
      <c r="AR406" s="106"/>
      <c r="AS406" s="106"/>
      <c r="AT406" s="106"/>
      <c r="AU406" s="106"/>
      <c r="AV406" s="106"/>
      <c r="AW406" s="106"/>
      <c r="AX406" s="106"/>
      <c r="AY406" s="106"/>
      <c r="AZ406" s="106"/>
      <c r="BA406" s="106"/>
      <c r="BB406" s="106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 s="106"/>
      <c r="BQ406" s="106"/>
      <c r="BR406" s="106"/>
      <c r="BS406" s="106"/>
      <c r="BT406" s="106"/>
      <c r="BU406" s="106"/>
    </row>
    <row r="407" spans="15:73">
      <c r="O407" s="106"/>
      <c r="P407" s="106"/>
      <c r="Q407" s="106"/>
      <c r="R407" s="106"/>
      <c r="S407" s="106"/>
      <c r="T407" s="106"/>
      <c r="U407" s="106"/>
      <c r="V407" s="106"/>
      <c r="W407" s="106"/>
      <c r="X407" s="106"/>
      <c r="Y407" s="106"/>
      <c r="Z407" s="106"/>
      <c r="AA407" s="106"/>
      <c r="AB407" s="106"/>
      <c r="AC407" s="106"/>
      <c r="AD407" s="106"/>
      <c r="AE407" s="106"/>
      <c r="AF407" s="106"/>
      <c r="AG407" s="106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06"/>
      <c r="AV407" s="106"/>
      <c r="AW407" s="106"/>
      <c r="AX407" s="106"/>
      <c r="AY407" s="106"/>
      <c r="AZ407" s="106"/>
      <c r="BA407" s="106"/>
      <c r="BB407" s="106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 s="106"/>
      <c r="BQ407" s="106"/>
      <c r="BR407" s="106"/>
      <c r="BS407" s="106"/>
      <c r="BT407" s="106"/>
      <c r="BU407" s="106"/>
    </row>
    <row r="408" spans="15:73">
      <c r="O408" s="106"/>
      <c r="P408" s="106"/>
      <c r="Q408" s="106"/>
      <c r="R408" s="106"/>
      <c r="S408" s="106"/>
      <c r="T408" s="106"/>
      <c r="U408" s="106"/>
      <c r="V408" s="106"/>
      <c r="W408" s="106"/>
      <c r="X408" s="106"/>
      <c r="Y408" s="106"/>
      <c r="Z408" s="106"/>
      <c r="AA408" s="106"/>
      <c r="AB408" s="106"/>
      <c r="AC408" s="106"/>
      <c r="AD408" s="106"/>
      <c r="AE408" s="106"/>
      <c r="AF408" s="106"/>
      <c r="AG408" s="106"/>
      <c r="AH408" s="106"/>
      <c r="AI408" s="106"/>
      <c r="AJ408" s="106"/>
      <c r="AK408" s="106"/>
      <c r="AL408" s="106"/>
      <c r="AM408" s="106"/>
      <c r="AN408" s="106"/>
      <c r="AO408" s="106"/>
      <c r="AP408" s="106"/>
      <c r="AQ408" s="106"/>
      <c r="AR408" s="106"/>
      <c r="AS408" s="106"/>
      <c r="AT408" s="106"/>
      <c r="AU408" s="106"/>
      <c r="AV408" s="106"/>
      <c r="AW408" s="106"/>
      <c r="AX408" s="106"/>
      <c r="AY408" s="106"/>
      <c r="AZ408" s="106"/>
      <c r="BA408" s="106"/>
      <c r="BB408" s="106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 s="106"/>
      <c r="BQ408" s="106"/>
      <c r="BR408" s="106"/>
      <c r="BS408" s="106"/>
      <c r="BT408" s="106"/>
      <c r="BU408" s="106"/>
    </row>
    <row r="409" spans="15:73">
      <c r="O409" s="106"/>
      <c r="P409" s="106"/>
      <c r="Q409" s="106"/>
      <c r="R409" s="106"/>
      <c r="S409" s="106"/>
      <c r="T409" s="106"/>
      <c r="U409" s="106"/>
      <c r="V409" s="106"/>
      <c r="W409" s="106"/>
      <c r="X409" s="106"/>
      <c r="Y409" s="106"/>
      <c r="Z409" s="106"/>
      <c r="AA409" s="106"/>
      <c r="AB409" s="106"/>
      <c r="AC409" s="106"/>
      <c r="AD409" s="106"/>
      <c r="AE409" s="106"/>
      <c r="AF409" s="106"/>
      <c r="AG409" s="106"/>
      <c r="AH409" s="106"/>
      <c r="AI409" s="106"/>
      <c r="AJ409" s="106"/>
      <c r="AK409" s="106"/>
      <c r="AL409" s="106"/>
      <c r="AM409" s="106"/>
      <c r="AN409" s="106"/>
      <c r="AO409" s="106"/>
      <c r="AP409" s="106"/>
      <c r="AQ409" s="106"/>
      <c r="AR409" s="106"/>
      <c r="AS409" s="106"/>
      <c r="AT409" s="106"/>
      <c r="AU409" s="106"/>
      <c r="AV409" s="106"/>
      <c r="AW409" s="106"/>
      <c r="AX409" s="106"/>
      <c r="AY409" s="106"/>
      <c r="AZ409" s="106"/>
      <c r="BA409" s="106"/>
      <c r="BB409" s="106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 s="106"/>
      <c r="BQ409" s="106"/>
      <c r="BR409" s="106"/>
      <c r="BS409" s="106"/>
      <c r="BT409" s="106"/>
      <c r="BU409" s="106"/>
    </row>
    <row r="410" spans="15:73">
      <c r="O410" s="106"/>
      <c r="P410" s="106"/>
      <c r="Q410" s="106"/>
      <c r="R410" s="106"/>
      <c r="S410" s="106"/>
      <c r="T410" s="106"/>
      <c r="U410" s="106"/>
      <c r="V410" s="106"/>
      <c r="W410" s="106"/>
      <c r="X410" s="106"/>
      <c r="Y410" s="106"/>
      <c r="Z410" s="106"/>
      <c r="AA410" s="106"/>
      <c r="AB410" s="106"/>
      <c r="AC410" s="106"/>
      <c r="AD410" s="106"/>
      <c r="AE410" s="106"/>
      <c r="AF410" s="106"/>
      <c r="AG410" s="106"/>
      <c r="AH410" s="106"/>
      <c r="AI410" s="106"/>
      <c r="AJ410" s="106"/>
      <c r="AK410" s="106"/>
      <c r="AL410" s="106"/>
      <c r="AM410" s="106"/>
      <c r="AN410" s="106"/>
      <c r="AO410" s="106"/>
      <c r="AP410" s="106"/>
      <c r="AQ410" s="106"/>
      <c r="AR410" s="106"/>
      <c r="AS410" s="106"/>
      <c r="AT410" s="106"/>
      <c r="AU410" s="106"/>
      <c r="AV410" s="106"/>
      <c r="AW410" s="106"/>
      <c r="AX410" s="106"/>
      <c r="AY410" s="106"/>
      <c r="AZ410" s="106"/>
      <c r="BA410" s="106"/>
      <c r="BB410" s="106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 s="106"/>
      <c r="BQ410" s="106"/>
      <c r="BR410" s="106"/>
      <c r="BS410" s="106"/>
      <c r="BT410" s="106"/>
      <c r="BU410" s="106"/>
    </row>
    <row r="411" spans="15:73">
      <c r="O411" s="106"/>
      <c r="P411" s="106"/>
      <c r="Q411" s="106"/>
      <c r="R411" s="106"/>
      <c r="S411" s="106"/>
      <c r="T411" s="106"/>
      <c r="U411" s="106"/>
      <c r="V411" s="106"/>
      <c r="W411" s="106"/>
      <c r="X411" s="106"/>
      <c r="Y411" s="106"/>
      <c r="Z411" s="106"/>
      <c r="AA411" s="106"/>
      <c r="AB411" s="106"/>
      <c r="AC411" s="106"/>
      <c r="AD411" s="106"/>
      <c r="AE411" s="106"/>
      <c r="AF411" s="106"/>
      <c r="AG411" s="106"/>
      <c r="AH411" s="106"/>
      <c r="AI411" s="106"/>
      <c r="AJ411" s="106"/>
      <c r="AK411" s="106"/>
      <c r="AL411" s="106"/>
      <c r="AM411" s="106"/>
      <c r="AN411" s="106"/>
      <c r="AO411" s="106"/>
      <c r="AP411" s="106"/>
      <c r="AQ411" s="106"/>
      <c r="AR411" s="106"/>
      <c r="AS411" s="106"/>
      <c r="AT411" s="106"/>
      <c r="AU411" s="106"/>
      <c r="AV411" s="106"/>
      <c r="AW411" s="106"/>
      <c r="AX411" s="106"/>
      <c r="AY411" s="106"/>
      <c r="AZ411" s="106"/>
      <c r="BA411" s="106"/>
      <c r="BB411" s="106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 s="106"/>
      <c r="BQ411" s="106"/>
      <c r="BR411" s="106"/>
      <c r="BS411" s="106"/>
      <c r="BT411" s="106"/>
      <c r="BU411" s="106"/>
    </row>
    <row r="412" spans="15:73">
      <c r="O412" s="106"/>
      <c r="P412" s="106"/>
      <c r="Q412" s="106"/>
      <c r="R412" s="106"/>
      <c r="S412" s="106"/>
      <c r="T412" s="106"/>
      <c r="U412" s="106"/>
      <c r="V412" s="106"/>
      <c r="W412" s="106"/>
      <c r="X412" s="106"/>
      <c r="Y412" s="106"/>
      <c r="Z412" s="106"/>
      <c r="AA412" s="106"/>
      <c r="AB412" s="106"/>
      <c r="AC412" s="106"/>
      <c r="AD412" s="106"/>
      <c r="AE412" s="106"/>
      <c r="AF412" s="106"/>
      <c r="AG412" s="106"/>
      <c r="AH412" s="106"/>
      <c r="AI412" s="106"/>
      <c r="AJ412" s="106"/>
      <c r="AK412" s="106"/>
      <c r="AL412" s="106"/>
      <c r="AM412" s="106"/>
      <c r="AN412" s="106"/>
      <c r="AO412" s="106"/>
      <c r="AP412" s="106"/>
      <c r="AQ412" s="106"/>
      <c r="AR412" s="106"/>
      <c r="AS412" s="106"/>
      <c r="AT412" s="106"/>
      <c r="AU412" s="106"/>
      <c r="AV412" s="106"/>
      <c r="AW412" s="106"/>
      <c r="AX412" s="106"/>
      <c r="AY412" s="106"/>
      <c r="AZ412" s="106"/>
      <c r="BA412" s="106"/>
      <c r="BB412" s="106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 s="106"/>
      <c r="BQ412" s="106"/>
      <c r="BR412" s="106"/>
      <c r="BS412" s="106"/>
      <c r="BT412" s="106"/>
      <c r="BU412" s="106"/>
    </row>
    <row r="413" spans="15:73">
      <c r="O413" s="106"/>
      <c r="P413" s="106"/>
      <c r="Q413" s="106"/>
      <c r="R413" s="106"/>
      <c r="S413" s="106"/>
      <c r="T413" s="106"/>
      <c r="U413" s="106"/>
      <c r="V413" s="106"/>
      <c r="W413" s="106"/>
      <c r="X413" s="106"/>
      <c r="Y413" s="106"/>
      <c r="Z413" s="106"/>
      <c r="AA413" s="106"/>
      <c r="AB413" s="106"/>
      <c r="AC413" s="106"/>
      <c r="AD413" s="106"/>
      <c r="AE413" s="106"/>
      <c r="AF413" s="106"/>
      <c r="AG413" s="106"/>
      <c r="AH413" s="106"/>
      <c r="AI413" s="106"/>
      <c r="AJ413" s="106"/>
      <c r="AK413" s="106"/>
      <c r="AL413" s="106"/>
      <c r="AM413" s="106"/>
      <c r="AN413" s="106"/>
      <c r="AO413" s="106"/>
      <c r="AP413" s="106"/>
      <c r="AQ413" s="106"/>
      <c r="AR413" s="106"/>
      <c r="AS413" s="106"/>
      <c r="AT413" s="106"/>
      <c r="AU413" s="106"/>
      <c r="AV413" s="106"/>
      <c r="AW413" s="106"/>
      <c r="AX413" s="106"/>
      <c r="AY413" s="106"/>
      <c r="AZ413" s="106"/>
      <c r="BA413" s="106"/>
      <c r="BB413" s="106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 s="106"/>
      <c r="BQ413" s="106"/>
      <c r="BR413" s="106"/>
      <c r="BS413" s="106"/>
      <c r="BT413" s="106"/>
      <c r="BU413" s="106"/>
    </row>
    <row r="414" spans="15:73">
      <c r="O414" s="106"/>
      <c r="P414" s="106"/>
      <c r="Q414" s="106"/>
      <c r="R414" s="106"/>
      <c r="S414" s="106"/>
      <c r="T414" s="106"/>
      <c r="U414" s="106"/>
      <c r="V414" s="106"/>
      <c r="W414" s="106"/>
      <c r="X414" s="106"/>
      <c r="Y414" s="106"/>
      <c r="Z414" s="106"/>
      <c r="AA414" s="106"/>
      <c r="AB414" s="106"/>
      <c r="AC414" s="106"/>
      <c r="AD414" s="106"/>
      <c r="AE414" s="106"/>
      <c r="AF414" s="106"/>
      <c r="AG414" s="106"/>
      <c r="AH414" s="106"/>
      <c r="AI414" s="106"/>
      <c r="AJ414" s="106"/>
      <c r="AK414" s="106"/>
      <c r="AL414" s="106"/>
      <c r="AM414" s="106"/>
      <c r="AN414" s="106"/>
      <c r="AO414" s="106"/>
      <c r="AP414" s="106"/>
      <c r="AQ414" s="106"/>
      <c r="AR414" s="106"/>
      <c r="AS414" s="106"/>
      <c r="AT414" s="106"/>
      <c r="AU414" s="106"/>
      <c r="AV414" s="106"/>
      <c r="AW414" s="106"/>
      <c r="AX414" s="106"/>
      <c r="AY414" s="106"/>
      <c r="AZ414" s="106"/>
      <c r="BA414" s="106"/>
      <c r="BB414" s="106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 s="106"/>
      <c r="BQ414" s="106"/>
      <c r="BR414" s="106"/>
      <c r="BS414" s="106"/>
      <c r="BT414" s="106"/>
      <c r="BU414" s="106"/>
    </row>
    <row r="415" spans="15:73">
      <c r="O415" s="106"/>
      <c r="P415" s="106"/>
      <c r="Q415" s="106"/>
      <c r="R415" s="106"/>
      <c r="S415" s="106"/>
      <c r="T415" s="106"/>
      <c r="U415" s="106"/>
      <c r="V415" s="106"/>
      <c r="W415" s="106"/>
      <c r="X415" s="106"/>
      <c r="Y415" s="106"/>
      <c r="Z415" s="106"/>
      <c r="AA415" s="106"/>
      <c r="AB415" s="106"/>
      <c r="AC415" s="106"/>
      <c r="AD415" s="106"/>
      <c r="AE415" s="106"/>
      <c r="AF415" s="106"/>
      <c r="AG415" s="106"/>
      <c r="AH415" s="106"/>
      <c r="AI415" s="106"/>
      <c r="AJ415" s="106"/>
      <c r="AK415" s="106"/>
      <c r="AL415" s="106"/>
      <c r="AM415" s="106"/>
      <c r="AN415" s="106"/>
      <c r="AO415" s="106"/>
      <c r="AP415" s="106"/>
      <c r="AQ415" s="106"/>
      <c r="AR415" s="106"/>
      <c r="AS415" s="106"/>
      <c r="AT415" s="106"/>
      <c r="AU415" s="106"/>
      <c r="AV415" s="106"/>
      <c r="AW415" s="106"/>
      <c r="AX415" s="106"/>
      <c r="AY415" s="106"/>
      <c r="AZ415" s="106"/>
      <c r="BA415" s="106"/>
      <c r="BB415" s="106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 s="106"/>
      <c r="BQ415" s="106"/>
      <c r="BR415" s="106"/>
      <c r="BS415" s="106"/>
      <c r="BT415" s="106"/>
      <c r="BU415" s="106"/>
    </row>
    <row r="416" spans="15:73">
      <c r="O416" s="106"/>
      <c r="P416" s="106"/>
      <c r="Q416" s="106"/>
      <c r="R416" s="106"/>
      <c r="S416" s="106"/>
      <c r="T416" s="106"/>
      <c r="U416" s="106"/>
      <c r="V416" s="106"/>
      <c r="W416" s="106"/>
      <c r="X416" s="106"/>
      <c r="Y416" s="106"/>
      <c r="Z416" s="106"/>
      <c r="AA416" s="106"/>
      <c r="AB416" s="106"/>
      <c r="AC416" s="106"/>
      <c r="AD416" s="106"/>
      <c r="AE416" s="106"/>
      <c r="AF416" s="106"/>
      <c r="AG416" s="106"/>
      <c r="AH416" s="106"/>
      <c r="AI416" s="106"/>
      <c r="AJ416" s="106"/>
      <c r="AK416" s="106"/>
      <c r="AL416" s="106"/>
      <c r="AM416" s="106"/>
      <c r="AN416" s="106"/>
      <c r="AO416" s="106"/>
      <c r="AP416" s="106"/>
      <c r="AQ416" s="106"/>
      <c r="AR416" s="106"/>
      <c r="AS416" s="106"/>
      <c r="AT416" s="106"/>
      <c r="AU416" s="106"/>
      <c r="AV416" s="106"/>
      <c r="AW416" s="106"/>
      <c r="AX416" s="106"/>
      <c r="AY416" s="106"/>
      <c r="AZ416" s="106"/>
      <c r="BA416" s="106"/>
      <c r="BB416" s="106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 s="106"/>
      <c r="BQ416" s="106"/>
      <c r="BR416" s="106"/>
      <c r="BS416" s="106"/>
      <c r="BT416" s="106"/>
      <c r="BU416" s="106"/>
    </row>
    <row r="417" spans="15:73">
      <c r="O417" s="106"/>
      <c r="P417" s="106"/>
      <c r="Q417" s="106"/>
      <c r="R417" s="106"/>
      <c r="S417" s="106"/>
      <c r="T417" s="106"/>
      <c r="U417" s="106"/>
      <c r="V417" s="106"/>
      <c r="W417" s="106"/>
      <c r="X417" s="106"/>
      <c r="Y417" s="106"/>
      <c r="Z417" s="106"/>
      <c r="AA417" s="106"/>
      <c r="AB417" s="106"/>
      <c r="AC417" s="106"/>
      <c r="AD417" s="106"/>
      <c r="AE417" s="106"/>
      <c r="AF417" s="106"/>
      <c r="AG417" s="106"/>
      <c r="AH417" s="106"/>
      <c r="AI417" s="106"/>
      <c r="AJ417" s="106"/>
      <c r="AK417" s="106"/>
      <c r="AL417" s="106"/>
      <c r="AM417" s="106"/>
      <c r="AN417" s="106"/>
      <c r="AO417" s="106"/>
      <c r="AP417" s="106"/>
      <c r="AQ417" s="106"/>
      <c r="AR417" s="106"/>
      <c r="AS417" s="106"/>
      <c r="AT417" s="106"/>
      <c r="AU417" s="106"/>
      <c r="AV417" s="106"/>
      <c r="AW417" s="106"/>
      <c r="AX417" s="106"/>
      <c r="AY417" s="106"/>
      <c r="AZ417" s="106"/>
      <c r="BA417" s="106"/>
      <c r="BB417" s="106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 s="106"/>
      <c r="BQ417" s="106"/>
      <c r="BR417" s="106"/>
      <c r="BS417" s="106"/>
      <c r="BT417" s="106"/>
      <c r="BU417" s="106"/>
    </row>
    <row r="418" spans="15:73"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  <c r="Y418" s="106"/>
      <c r="Z418" s="106"/>
      <c r="AA418" s="106"/>
      <c r="AB418" s="106"/>
      <c r="AC418" s="106"/>
      <c r="AD418" s="106"/>
      <c r="AE418" s="106"/>
      <c r="AF418" s="106"/>
      <c r="AG418" s="106"/>
      <c r="AH418" s="106"/>
      <c r="AI418" s="106"/>
      <c r="AJ418" s="106"/>
      <c r="AK418" s="106"/>
      <c r="AL418" s="106"/>
      <c r="AM418" s="106"/>
      <c r="AN418" s="106"/>
      <c r="AO418" s="106"/>
      <c r="AP418" s="106"/>
      <c r="AQ418" s="106"/>
      <c r="AR418" s="106"/>
      <c r="AS418" s="106"/>
      <c r="AT418" s="106"/>
      <c r="AU418" s="106"/>
      <c r="AV418" s="106"/>
      <c r="AW418" s="106"/>
      <c r="AX418" s="106"/>
      <c r="AY418" s="106"/>
      <c r="AZ418" s="106"/>
      <c r="BA418" s="106"/>
      <c r="BB418" s="106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 s="106"/>
      <c r="BQ418" s="106"/>
      <c r="BR418" s="106"/>
      <c r="BS418" s="106"/>
      <c r="BT418" s="106"/>
      <c r="BU418" s="106"/>
    </row>
    <row r="419" spans="15:73">
      <c r="O419" s="106"/>
      <c r="P419" s="106"/>
      <c r="Q419" s="106"/>
      <c r="R419" s="106"/>
      <c r="S419" s="106"/>
      <c r="T419" s="106"/>
      <c r="U419" s="106"/>
      <c r="V419" s="106"/>
      <c r="W419" s="106"/>
      <c r="X419" s="106"/>
      <c r="Y419" s="106"/>
      <c r="Z419" s="106"/>
      <c r="AA419" s="106"/>
      <c r="AB419" s="106"/>
      <c r="AC419" s="106"/>
      <c r="AD419" s="106"/>
      <c r="AE419" s="106"/>
      <c r="AF419" s="106"/>
      <c r="AG419" s="106"/>
      <c r="AH419" s="106"/>
      <c r="AI419" s="106"/>
      <c r="AJ419" s="106"/>
      <c r="AK419" s="106"/>
      <c r="AL419" s="106"/>
      <c r="AM419" s="106"/>
      <c r="AN419" s="106"/>
      <c r="AO419" s="106"/>
      <c r="AP419" s="106"/>
      <c r="AQ419" s="106"/>
      <c r="AR419" s="106"/>
      <c r="AS419" s="106"/>
      <c r="AT419" s="106"/>
      <c r="AU419" s="106"/>
      <c r="AV419" s="106"/>
      <c r="AW419" s="106"/>
      <c r="AX419" s="106"/>
      <c r="AY419" s="106"/>
      <c r="AZ419" s="106"/>
      <c r="BA419" s="106"/>
      <c r="BB419" s="106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 s="106"/>
      <c r="BQ419" s="106"/>
      <c r="BR419" s="106"/>
      <c r="BS419" s="106"/>
      <c r="BT419" s="106"/>
      <c r="BU419" s="106"/>
    </row>
    <row r="420" spans="15:73"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  <c r="Y420" s="106"/>
      <c r="Z420" s="106"/>
      <c r="AA420" s="106"/>
      <c r="AB420" s="106"/>
      <c r="AC420" s="106"/>
      <c r="AD420" s="106"/>
      <c r="AE420" s="106"/>
      <c r="AF420" s="106"/>
      <c r="AG420" s="106"/>
      <c r="AH420" s="106"/>
      <c r="AI420" s="106"/>
      <c r="AJ420" s="106"/>
      <c r="AK420" s="106"/>
      <c r="AL420" s="106"/>
      <c r="AM420" s="106"/>
      <c r="AN420" s="106"/>
      <c r="AO420" s="106"/>
      <c r="AP420" s="106"/>
      <c r="AQ420" s="106"/>
      <c r="AR420" s="106"/>
      <c r="AS420" s="106"/>
      <c r="AT420" s="106"/>
      <c r="AU420" s="106"/>
      <c r="AV420" s="106"/>
      <c r="AW420" s="106"/>
      <c r="AX420" s="106"/>
      <c r="AY420" s="106"/>
      <c r="AZ420" s="106"/>
      <c r="BA420" s="106"/>
      <c r="BB420" s="106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 s="106"/>
      <c r="BQ420" s="106"/>
      <c r="BR420" s="106"/>
      <c r="BS420" s="106"/>
      <c r="BT420" s="106"/>
      <c r="BU420" s="106"/>
    </row>
    <row r="421" spans="15:73"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  <c r="Y421" s="106"/>
      <c r="Z421" s="106"/>
      <c r="AA421" s="106"/>
      <c r="AB421" s="106"/>
      <c r="AC421" s="106"/>
      <c r="AD421" s="106"/>
      <c r="AE421" s="106"/>
      <c r="AF421" s="106"/>
      <c r="AG421" s="106"/>
      <c r="AH421" s="106"/>
      <c r="AI421" s="106"/>
      <c r="AJ421" s="106"/>
      <c r="AK421" s="106"/>
      <c r="AL421" s="106"/>
      <c r="AM421" s="106"/>
      <c r="AN421" s="106"/>
      <c r="AO421" s="106"/>
      <c r="AP421" s="106"/>
      <c r="AQ421" s="106"/>
      <c r="AR421" s="106"/>
      <c r="AS421" s="106"/>
      <c r="AT421" s="106"/>
      <c r="AU421" s="106"/>
      <c r="AV421" s="106"/>
      <c r="AW421" s="106"/>
      <c r="AX421" s="106"/>
      <c r="AY421" s="106"/>
      <c r="AZ421" s="106"/>
      <c r="BA421" s="106"/>
      <c r="BB421" s="106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 s="106"/>
      <c r="BQ421" s="106"/>
      <c r="BR421" s="106"/>
      <c r="BS421" s="106"/>
      <c r="BT421" s="106"/>
      <c r="BU421" s="106"/>
    </row>
    <row r="422" spans="15:73"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  <c r="AA422" s="106"/>
      <c r="AB422" s="106"/>
      <c r="AC422" s="106"/>
      <c r="AD422" s="106"/>
      <c r="AE422" s="106"/>
      <c r="AF422" s="106"/>
      <c r="AG422" s="106"/>
      <c r="AH422" s="106"/>
      <c r="AI422" s="106"/>
      <c r="AJ422" s="106"/>
      <c r="AK422" s="106"/>
      <c r="AL422" s="106"/>
      <c r="AM422" s="106"/>
      <c r="AN422" s="106"/>
      <c r="AO422" s="106"/>
      <c r="AP422" s="106"/>
      <c r="AQ422" s="106"/>
      <c r="AR422" s="106"/>
      <c r="AS422" s="106"/>
      <c r="AT422" s="106"/>
      <c r="AU422" s="106"/>
      <c r="AV422" s="106"/>
      <c r="AW422" s="106"/>
      <c r="AX422" s="106"/>
      <c r="AY422" s="106"/>
      <c r="AZ422" s="106"/>
      <c r="BA422" s="106"/>
      <c r="BB422" s="106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 s="106"/>
      <c r="BQ422" s="106"/>
      <c r="BR422" s="106"/>
      <c r="BS422" s="106"/>
      <c r="BT422" s="106"/>
      <c r="BU422" s="106"/>
    </row>
    <row r="423" spans="15:73"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  <c r="Y423" s="106"/>
      <c r="Z423" s="106"/>
      <c r="AA423" s="106"/>
      <c r="AB423" s="106"/>
      <c r="AC423" s="106"/>
      <c r="AD423" s="106"/>
      <c r="AE423" s="106"/>
      <c r="AF423" s="106"/>
      <c r="AG423" s="106"/>
      <c r="AH423" s="106"/>
      <c r="AI423" s="106"/>
      <c r="AJ423" s="106"/>
      <c r="AK423" s="106"/>
      <c r="AL423" s="106"/>
      <c r="AM423" s="106"/>
      <c r="AN423" s="106"/>
      <c r="AO423" s="106"/>
      <c r="AP423" s="106"/>
      <c r="AQ423" s="106"/>
      <c r="AR423" s="106"/>
      <c r="AS423" s="106"/>
      <c r="AT423" s="106"/>
      <c r="AU423" s="106"/>
      <c r="AV423" s="106"/>
      <c r="AW423" s="106"/>
      <c r="AX423" s="106"/>
      <c r="AY423" s="106"/>
      <c r="AZ423" s="106"/>
      <c r="BA423" s="106"/>
      <c r="BB423" s="106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 s="106"/>
      <c r="BQ423" s="106"/>
      <c r="BR423" s="106"/>
      <c r="BS423" s="106"/>
      <c r="BT423" s="106"/>
      <c r="BU423" s="106"/>
    </row>
    <row r="424" spans="15:73"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/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 s="106"/>
      <c r="BQ424" s="106"/>
      <c r="BR424" s="106"/>
      <c r="BS424" s="106"/>
      <c r="BT424" s="106"/>
      <c r="BU424" s="106"/>
    </row>
    <row r="425" spans="15:73">
      <c r="O425" s="106"/>
      <c r="P425" s="106"/>
      <c r="Q425" s="106"/>
      <c r="R425" s="106"/>
      <c r="S425" s="106"/>
      <c r="T425" s="106"/>
      <c r="U425" s="106"/>
      <c r="V425" s="106"/>
      <c r="W425" s="106"/>
      <c r="X425" s="106"/>
      <c r="Y425" s="106"/>
      <c r="Z425" s="106"/>
      <c r="AA425" s="106"/>
      <c r="AB425" s="106"/>
      <c r="AC425" s="106"/>
      <c r="AD425" s="106"/>
      <c r="AE425" s="106"/>
      <c r="AF425" s="106"/>
      <c r="AG425" s="106"/>
      <c r="AH425" s="106"/>
      <c r="AI425" s="106"/>
      <c r="AJ425" s="106"/>
      <c r="AK425" s="106"/>
      <c r="AL425" s="106"/>
      <c r="AM425" s="106"/>
      <c r="AN425" s="106"/>
      <c r="AO425" s="106"/>
      <c r="AP425" s="106"/>
      <c r="AQ425" s="106"/>
      <c r="AR425" s="106"/>
      <c r="AS425" s="106"/>
      <c r="AT425" s="106"/>
      <c r="AU425" s="106"/>
      <c r="AV425" s="106"/>
      <c r="AW425" s="106"/>
      <c r="AX425" s="106"/>
      <c r="AY425" s="106"/>
      <c r="AZ425" s="106"/>
      <c r="BA425" s="106"/>
      <c r="BB425" s="106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 s="106"/>
      <c r="BQ425" s="106"/>
      <c r="BR425" s="106"/>
      <c r="BS425" s="106"/>
      <c r="BT425" s="106"/>
      <c r="BU425" s="106"/>
    </row>
    <row r="426" spans="15:73"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  <c r="AA426" s="106"/>
      <c r="AB426" s="106"/>
      <c r="AC426" s="106"/>
      <c r="AD426" s="106"/>
      <c r="AE426" s="106"/>
      <c r="AF426" s="106"/>
      <c r="AG426" s="106"/>
      <c r="AH426" s="106"/>
      <c r="AI426" s="106"/>
      <c r="AJ426" s="106"/>
      <c r="AK426" s="106"/>
      <c r="AL426" s="106"/>
      <c r="AM426" s="106"/>
      <c r="AN426" s="106"/>
      <c r="AO426" s="106"/>
      <c r="AP426" s="106"/>
      <c r="AQ426" s="106"/>
      <c r="AR426" s="106"/>
      <c r="AS426" s="106"/>
      <c r="AT426" s="106"/>
      <c r="AU426" s="106"/>
      <c r="AV426" s="106"/>
      <c r="AW426" s="106"/>
      <c r="AX426" s="106"/>
      <c r="AY426" s="106"/>
      <c r="AZ426" s="106"/>
      <c r="BA426" s="106"/>
      <c r="BB426" s="106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 s="106"/>
      <c r="BQ426" s="106"/>
      <c r="BR426" s="106"/>
      <c r="BS426" s="106"/>
      <c r="BT426" s="106"/>
      <c r="BU426" s="106"/>
    </row>
    <row r="427" spans="15:73"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  <c r="Y427" s="106"/>
      <c r="Z427" s="106"/>
      <c r="AA427" s="106"/>
      <c r="AB427" s="106"/>
      <c r="AC427" s="106"/>
      <c r="AD427" s="106"/>
      <c r="AE427" s="106"/>
      <c r="AF427" s="106"/>
      <c r="AG427" s="106"/>
      <c r="AH427" s="106"/>
      <c r="AI427" s="106"/>
      <c r="AJ427" s="106"/>
      <c r="AK427" s="106"/>
      <c r="AL427" s="106"/>
      <c r="AM427" s="106"/>
      <c r="AN427" s="106"/>
      <c r="AO427" s="106"/>
      <c r="AP427" s="106"/>
      <c r="AQ427" s="106"/>
      <c r="AR427" s="106"/>
      <c r="AS427" s="106"/>
      <c r="AT427" s="106"/>
      <c r="AU427" s="106"/>
      <c r="AV427" s="106"/>
      <c r="AW427" s="106"/>
      <c r="AX427" s="106"/>
      <c r="AY427" s="106"/>
      <c r="AZ427" s="106"/>
      <c r="BA427" s="106"/>
      <c r="BB427" s="106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 s="106"/>
      <c r="BQ427" s="106"/>
      <c r="BR427" s="106"/>
      <c r="BS427" s="106"/>
      <c r="BT427" s="106"/>
      <c r="BU427" s="106"/>
    </row>
    <row r="428" spans="15:73"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  <c r="Y428" s="106"/>
      <c r="Z428" s="106"/>
      <c r="AA428" s="106"/>
      <c r="AB428" s="106"/>
      <c r="AC428" s="106"/>
      <c r="AD428" s="106"/>
      <c r="AE428" s="106"/>
      <c r="AF428" s="106"/>
      <c r="AG428" s="106"/>
      <c r="AH428" s="106"/>
      <c r="AI428" s="106"/>
      <c r="AJ428" s="106"/>
      <c r="AK428" s="106"/>
      <c r="AL428" s="106"/>
      <c r="AM428" s="106"/>
      <c r="AN428" s="106"/>
      <c r="AO428" s="106"/>
      <c r="AP428" s="106"/>
      <c r="AQ428" s="106"/>
      <c r="AR428" s="106"/>
      <c r="AS428" s="106"/>
      <c r="AT428" s="106"/>
      <c r="AU428" s="106"/>
      <c r="AV428" s="106"/>
      <c r="AW428" s="106"/>
      <c r="AX428" s="106"/>
      <c r="AY428" s="106"/>
      <c r="AZ428" s="106"/>
      <c r="BA428" s="106"/>
      <c r="BB428" s="106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 s="106"/>
      <c r="BQ428" s="106"/>
      <c r="BR428" s="106"/>
      <c r="BS428" s="106"/>
      <c r="BT428" s="106"/>
      <c r="BU428" s="106"/>
    </row>
    <row r="429" spans="15:73"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  <c r="Y429" s="106"/>
      <c r="Z429" s="106"/>
      <c r="AA429" s="106"/>
      <c r="AB429" s="106"/>
      <c r="AC429" s="106"/>
      <c r="AD429" s="106"/>
      <c r="AE429" s="106"/>
      <c r="AF429" s="106"/>
      <c r="AG429" s="106"/>
      <c r="AH429" s="106"/>
      <c r="AI429" s="106"/>
      <c r="AJ429" s="106"/>
      <c r="AK429" s="106"/>
      <c r="AL429" s="106"/>
      <c r="AM429" s="106"/>
      <c r="AN429" s="106"/>
      <c r="AO429" s="106"/>
      <c r="AP429" s="106"/>
      <c r="AQ429" s="106"/>
      <c r="AR429" s="106"/>
      <c r="AS429" s="106"/>
      <c r="AT429" s="106"/>
      <c r="AU429" s="106"/>
      <c r="AV429" s="106"/>
      <c r="AW429" s="106"/>
      <c r="AX429" s="106"/>
      <c r="AY429" s="106"/>
      <c r="AZ429" s="106"/>
      <c r="BA429" s="106"/>
      <c r="BB429" s="106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 s="106"/>
      <c r="BQ429" s="106"/>
      <c r="BR429" s="106"/>
      <c r="BS429" s="106"/>
      <c r="BT429" s="106"/>
      <c r="BU429" s="106"/>
    </row>
    <row r="430" spans="15:73"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  <c r="Y430" s="106"/>
      <c r="Z430" s="106"/>
      <c r="AA430" s="106"/>
      <c r="AB430" s="106"/>
      <c r="AC430" s="106"/>
      <c r="AD430" s="106"/>
      <c r="AE430" s="106"/>
      <c r="AF430" s="106"/>
      <c r="AG430" s="106"/>
      <c r="AH430" s="106"/>
      <c r="AI430" s="106"/>
      <c r="AJ430" s="106"/>
      <c r="AK430" s="106"/>
      <c r="AL430" s="106"/>
      <c r="AM430" s="106"/>
      <c r="AN430" s="106"/>
      <c r="AO430" s="106"/>
      <c r="AP430" s="106"/>
      <c r="AQ430" s="106"/>
      <c r="AR430" s="106"/>
      <c r="AS430" s="106"/>
      <c r="AT430" s="106"/>
      <c r="AU430" s="106"/>
      <c r="AV430" s="106"/>
      <c r="AW430" s="106"/>
      <c r="AX430" s="106"/>
      <c r="AY430" s="106"/>
      <c r="AZ430" s="106"/>
      <c r="BA430" s="106"/>
      <c r="BB430" s="106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 s="106"/>
      <c r="BQ430" s="106"/>
      <c r="BR430" s="106"/>
      <c r="BS430" s="106"/>
      <c r="BT430" s="106"/>
      <c r="BU430" s="106"/>
    </row>
    <row r="431" spans="15:73">
      <c r="O431" s="106"/>
      <c r="P431" s="106"/>
      <c r="Q431" s="106"/>
      <c r="R431" s="106"/>
      <c r="S431" s="106"/>
      <c r="T431" s="106"/>
      <c r="U431" s="106"/>
      <c r="V431" s="106"/>
      <c r="W431" s="106"/>
      <c r="X431" s="106"/>
      <c r="Y431" s="106"/>
      <c r="Z431" s="106"/>
      <c r="AA431" s="106"/>
      <c r="AB431" s="106"/>
      <c r="AC431" s="106"/>
      <c r="AD431" s="106"/>
      <c r="AE431" s="106"/>
      <c r="AF431" s="106"/>
      <c r="AG431" s="106"/>
      <c r="AH431" s="106"/>
      <c r="AI431" s="106"/>
      <c r="AJ431" s="106"/>
      <c r="AK431" s="106"/>
      <c r="AL431" s="106"/>
      <c r="AM431" s="106"/>
      <c r="AN431" s="106"/>
      <c r="AO431" s="106"/>
      <c r="AP431" s="106"/>
      <c r="AQ431" s="106"/>
      <c r="AR431" s="106"/>
      <c r="AS431" s="106"/>
      <c r="AT431" s="106"/>
      <c r="AU431" s="106"/>
      <c r="AV431" s="106"/>
      <c r="AW431" s="106"/>
      <c r="AX431" s="106"/>
      <c r="AY431" s="106"/>
      <c r="AZ431" s="106"/>
      <c r="BA431" s="106"/>
      <c r="BB431" s="106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 s="106"/>
      <c r="BQ431" s="106"/>
      <c r="BR431" s="106"/>
      <c r="BS431" s="106"/>
      <c r="BT431" s="106"/>
      <c r="BU431" s="106"/>
    </row>
    <row r="432" spans="15:73">
      <c r="O432" s="106"/>
      <c r="P432" s="106"/>
      <c r="Q432" s="106"/>
      <c r="R432" s="106"/>
      <c r="S432" s="106"/>
      <c r="T432" s="106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6"/>
      <c r="AH432" s="106"/>
      <c r="AI432" s="106"/>
      <c r="AJ432" s="106"/>
      <c r="AK432" s="106"/>
      <c r="AL432" s="106"/>
      <c r="AM432" s="106"/>
      <c r="AN432" s="106"/>
      <c r="AO432" s="106"/>
      <c r="AP432" s="106"/>
      <c r="AQ432" s="106"/>
      <c r="AR432" s="106"/>
      <c r="AS432" s="106"/>
      <c r="AT432" s="106"/>
      <c r="AU432" s="106"/>
      <c r="AV432" s="106"/>
      <c r="AW432" s="106"/>
      <c r="AX432" s="106"/>
      <c r="AY432" s="106"/>
      <c r="AZ432" s="106"/>
      <c r="BA432" s="106"/>
      <c r="BB432" s="106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 s="106"/>
      <c r="BQ432" s="106"/>
      <c r="BR432" s="106"/>
      <c r="BS432" s="106"/>
      <c r="BT432" s="106"/>
      <c r="BU432" s="106"/>
    </row>
    <row r="433" spans="15:73"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  <c r="Y433" s="106"/>
      <c r="Z433" s="106"/>
      <c r="AA433" s="106"/>
      <c r="AB433" s="106"/>
      <c r="AC433" s="106"/>
      <c r="AD433" s="106"/>
      <c r="AE433" s="106"/>
      <c r="AF433" s="106"/>
      <c r="AG433" s="106"/>
      <c r="AH433" s="106"/>
      <c r="AI433" s="106"/>
      <c r="AJ433" s="106"/>
      <c r="AK433" s="106"/>
      <c r="AL433" s="106"/>
      <c r="AM433" s="106"/>
      <c r="AN433" s="106"/>
      <c r="AO433" s="106"/>
      <c r="AP433" s="106"/>
      <c r="AQ433" s="106"/>
      <c r="AR433" s="106"/>
      <c r="AS433" s="106"/>
      <c r="AT433" s="106"/>
      <c r="AU433" s="106"/>
      <c r="AV433" s="106"/>
      <c r="AW433" s="106"/>
      <c r="AX433" s="106"/>
      <c r="AY433" s="106"/>
      <c r="AZ433" s="106"/>
      <c r="BA433" s="106"/>
      <c r="BB433" s="106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 s="106"/>
      <c r="BQ433" s="106"/>
      <c r="BR433" s="106"/>
      <c r="BS433" s="106"/>
      <c r="BT433" s="106"/>
      <c r="BU433" s="106"/>
    </row>
    <row r="434" spans="15:73"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  <c r="Y434" s="106"/>
      <c r="Z434" s="106"/>
      <c r="AA434" s="106"/>
      <c r="AB434" s="106"/>
      <c r="AC434" s="106"/>
      <c r="AD434" s="106"/>
      <c r="AE434" s="106"/>
      <c r="AF434" s="106"/>
      <c r="AG434" s="106"/>
      <c r="AH434" s="106"/>
      <c r="AI434" s="106"/>
      <c r="AJ434" s="106"/>
      <c r="AK434" s="106"/>
      <c r="AL434" s="106"/>
      <c r="AM434" s="106"/>
      <c r="AN434" s="106"/>
      <c r="AO434" s="106"/>
      <c r="AP434" s="106"/>
      <c r="AQ434" s="106"/>
      <c r="AR434" s="106"/>
      <c r="AS434" s="106"/>
      <c r="AT434" s="106"/>
      <c r="AU434" s="106"/>
      <c r="AV434" s="106"/>
      <c r="AW434" s="106"/>
      <c r="AX434" s="106"/>
      <c r="AY434" s="106"/>
      <c r="AZ434" s="106"/>
      <c r="BA434" s="106"/>
      <c r="BB434" s="106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 s="106"/>
      <c r="BQ434" s="106"/>
      <c r="BR434" s="106"/>
      <c r="BS434" s="106"/>
      <c r="BT434" s="106"/>
      <c r="BU434" s="106"/>
    </row>
    <row r="435" spans="15:73"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  <c r="Y435" s="106"/>
      <c r="Z435" s="106"/>
      <c r="AA435" s="106"/>
      <c r="AB435" s="106"/>
      <c r="AC435" s="106"/>
      <c r="AD435" s="106"/>
      <c r="AE435" s="106"/>
      <c r="AF435" s="106"/>
      <c r="AG435" s="106"/>
      <c r="AH435" s="106"/>
      <c r="AI435" s="106"/>
      <c r="AJ435" s="106"/>
      <c r="AK435" s="106"/>
      <c r="AL435" s="106"/>
      <c r="AM435" s="106"/>
      <c r="AN435" s="106"/>
      <c r="AO435" s="106"/>
      <c r="AP435" s="106"/>
      <c r="AQ435" s="106"/>
      <c r="AR435" s="106"/>
      <c r="AS435" s="106"/>
      <c r="AT435" s="106"/>
      <c r="AU435" s="106"/>
      <c r="AV435" s="106"/>
      <c r="AW435" s="106"/>
      <c r="AX435" s="106"/>
      <c r="AY435" s="106"/>
      <c r="AZ435" s="106"/>
      <c r="BA435" s="106"/>
      <c r="BB435" s="106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 s="106"/>
      <c r="BQ435" s="106"/>
      <c r="BR435" s="106"/>
      <c r="BS435" s="106"/>
      <c r="BT435" s="106"/>
      <c r="BU435" s="106"/>
    </row>
    <row r="436" spans="15:73">
      <c r="O436" s="106"/>
      <c r="P436" s="106"/>
      <c r="Q436" s="106"/>
      <c r="R436" s="106"/>
      <c r="S436" s="106"/>
      <c r="T436" s="106"/>
      <c r="U436" s="106"/>
      <c r="V436" s="106"/>
      <c r="W436" s="106"/>
      <c r="X436" s="106"/>
      <c r="Y436" s="106"/>
      <c r="Z436" s="106"/>
      <c r="AA436" s="106"/>
      <c r="AB436" s="106"/>
      <c r="AC436" s="106"/>
      <c r="AD436" s="106"/>
      <c r="AE436" s="106"/>
      <c r="AF436" s="106"/>
      <c r="AG436" s="106"/>
      <c r="AH436" s="106"/>
      <c r="AI436" s="106"/>
      <c r="AJ436" s="106"/>
      <c r="AK436" s="106"/>
      <c r="AL436" s="106"/>
      <c r="AM436" s="106"/>
      <c r="AN436" s="106"/>
      <c r="AO436" s="106"/>
      <c r="AP436" s="106"/>
      <c r="AQ436" s="106"/>
      <c r="AR436" s="106"/>
      <c r="AS436" s="106"/>
      <c r="AT436" s="106"/>
      <c r="AU436" s="106"/>
      <c r="AV436" s="106"/>
      <c r="AW436" s="106"/>
      <c r="AX436" s="106"/>
      <c r="AY436" s="106"/>
      <c r="AZ436" s="106"/>
      <c r="BA436" s="106"/>
      <c r="BB436" s="106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 s="106"/>
      <c r="BQ436" s="106"/>
      <c r="BR436" s="106"/>
      <c r="BS436" s="106"/>
      <c r="BT436" s="106"/>
      <c r="BU436" s="106"/>
    </row>
    <row r="437" spans="15:73">
      <c r="O437" s="106"/>
      <c r="P437" s="106"/>
      <c r="Q437" s="106"/>
      <c r="R437" s="106"/>
      <c r="S437" s="106"/>
      <c r="T437" s="106"/>
      <c r="U437" s="106"/>
      <c r="V437" s="106"/>
      <c r="W437" s="106"/>
      <c r="X437" s="106"/>
      <c r="Y437" s="106"/>
      <c r="Z437" s="106"/>
      <c r="AA437" s="106"/>
      <c r="AB437" s="106"/>
      <c r="AC437" s="106"/>
      <c r="AD437" s="106"/>
      <c r="AE437" s="106"/>
      <c r="AF437" s="106"/>
      <c r="AG437" s="106"/>
      <c r="AH437" s="106"/>
      <c r="AI437" s="106"/>
      <c r="AJ437" s="106"/>
      <c r="AK437" s="106"/>
      <c r="AL437" s="106"/>
      <c r="AM437" s="106"/>
      <c r="AN437" s="106"/>
      <c r="AO437" s="106"/>
      <c r="AP437" s="106"/>
      <c r="AQ437" s="106"/>
      <c r="AR437" s="106"/>
      <c r="AS437" s="106"/>
      <c r="AT437" s="106"/>
      <c r="AU437" s="106"/>
      <c r="AV437" s="106"/>
      <c r="AW437" s="106"/>
      <c r="AX437" s="106"/>
      <c r="AY437" s="106"/>
      <c r="AZ437" s="106"/>
      <c r="BA437" s="106"/>
      <c r="BB437" s="106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 s="106"/>
      <c r="BQ437" s="106"/>
      <c r="BR437" s="106"/>
      <c r="BS437" s="106"/>
      <c r="BT437" s="106"/>
      <c r="BU437" s="106"/>
    </row>
    <row r="438" spans="15:73"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  <c r="AF438" s="106"/>
      <c r="AG438" s="106"/>
      <c r="AH438" s="106"/>
      <c r="AI438" s="106"/>
      <c r="AJ438" s="106"/>
      <c r="AK438" s="106"/>
      <c r="AL438" s="106"/>
      <c r="AM438" s="106"/>
      <c r="AN438" s="106"/>
      <c r="AO438" s="106"/>
      <c r="AP438" s="106"/>
      <c r="AQ438" s="106"/>
      <c r="AR438" s="106"/>
      <c r="AS438" s="106"/>
      <c r="AT438" s="106"/>
      <c r="AU438" s="106"/>
      <c r="AV438" s="106"/>
      <c r="AW438" s="106"/>
      <c r="AX438" s="106"/>
      <c r="AY438" s="106"/>
      <c r="AZ438" s="106"/>
      <c r="BA438" s="106"/>
      <c r="BB438" s="106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 s="106"/>
      <c r="BQ438" s="106"/>
      <c r="BR438" s="106"/>
      <c r="BS438" s="106"/>
      <c r="BT438" s="106"/>
      <c r="BU438" s="106"/>
    </row>
    <row r="439" spans="15:73"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  <c r="AF439" s="106"/>
      <c r="AG439" s="106"/>
      <c r="AH439" s="106"/>
      <c r="AI439" s="106"/>
      <c r="AJ439" s="106"/>
      <c r="AK439" s="106"/>
      <c r="AL439" s="106"/>
      <c r="AM439" s="106"/>
      <c r="AN439" s="106"/>
      <c r="AO439" s="106"/>
      <c r="AP439" s="106"/>
      <c r="AQ439" s="106"/>
      <c r="AR439" s="106"/>
      <c r="AS439" s="106"/>
      <c r="AT439" s="106"/>
      <c r="AU439" s="106"/>
      <c r="AV439" s="106"/>
      <c r="AW439" s="106"/>
      <c r="AX439" s="106"/>
      <c r="AY439" s="106"/>
      <c r="AZ439" s="106"/>
      <c r="BA439" s="106"/>
      <c r="BB439" s="106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 s="106"/>
      <c r="BQ439" s="106"/>
      <c r="BR439" s="106"/>
      <c r="BS439" s="106"/>
      <c r="BT439" s="106"/>
      <c r="BU439" s="106"/>
    </row>
    <row r="440" spans="15:73"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  <c r="AF440" s="106"/>
      <c r="AG440" s="106"/>
      <c r="AH440" s="106"/>
      <c r="AI440" s="106"/>
      <c r="AJ440" s="106"/>
      <c r="AK440" s="106"/>
      <c r="AL440" s="106"/>
      <c r="AM440" s="106"/>
      <c r="AN440" s="106"/>
      <c r="AO440" s="106"/>
      <c r="AP440" s="106"/>
      <c r="AQ440" s="106"/>
      <c r="AR440" s="106"/>
      <c r="AS440" s="106"/>
      <c r="AT440" s="106"/>
      <c r="AU440" s="106"/>
      <c r="AV440" s="106"/>
      <c r="AW440" s="106"/>
      <c r="AX440" s="106"/>
      <c r="AY440" s="106"/>
      <c r="AZ440" s="106"/>
      <c r="BA440" s="106"/>
      <c r="BB440" s="106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 s="106"/>
      <c r="BQ440" s="106"/>
      <c r="BR440" s="106"/>
      <c r="BS440" s="106"/>
      <c r="BT440" s="106"/>
      <c r="BU440" s="106"/>
    </row>
    <row r="441" spans="15:73"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  <c r="AF441" s="106"/>
      <c r="AG441" s="106"/>
      <c r="AH441" s="106"/>
      <c r="AI441" s="106"/>
      <c r="AJ441" s="106"/>
      <c r="AK441" s="106"/>
      <c r="AL441" s="106"/>
      <c r="AM441" s="106"/>
      <c r="AN441" s="106"/>
      <c r="AO441" s="106"/>
      <c r="AP441" s="106"/>
      <c r="AQ441" s="106"/>
      <c r="AR441" s="106"/>
      <c r="AS441" s="106"/>
      <c r="AT441" s="106"/>
      <c r="AU441" s="106"/>
      <c r="AV441" s="106"/>
      <c r="AW441" s="106"/>
      <c r="AX441" s="106"/>
      <c r="AY441" s="106"/>
      <c r="AZ441" s="106"/>
      <c r="BA441" s="106"/>
      <c r="BB441" s="106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 s="106"/>
      <c r="BQ441" s="106"/>
      <c r="BR441" s="106"/>
      <c r="BS441" s="106"/>
      <c r="BT441" s="106"/>
      <c r="BU441" s="106"/>
    </row>
    <row r="442" spans="15:73">
      <c r="O442" s="106"/>
      <c r="P442" s="106"/>
      <c r="Q442" s="106"/>
      <c r="R442" s="106"/>
      <c r="S442" s="106"/>
      <c r="T442" s="106"/>
      <c r="U442" s="106"/>
      <c r="V442" s="106"/>
      <c r="W442" s="106"/>
      <c r="X442" s="106"/>
      <c r="Y442" s="106"/>
      <c r="Z442" s="106"/>
      <c r="AA442" s="106"/>
      <c r="AB442" s="106"/>
      <c r="AC442" s="106"/>
      <c r="AD442" s="106"/>
      <c r="AE442" s="106"/>
      <c r="AF442" s="106"/>
      <c r="AG442" s="106"/>
      <c r="AH442" s="106"/>
      <c r="AI442" s="106"/>
      <c r="AJ442" s="106"/>
      <c r="AK442" s="106"/>
      <c r="AL442" s="106"/>
      <c r="AM442" s="106"/>
      <c r="AN442" s="106"/>
      <c r="AO442" s="106"/>
      <c r="AP442" s="106"/>
      <c r="AQ442" s="106"/>
      <c r="AR442" s="106"/>
      <c r="AS442" s="106"/>
      <c r="AT442" s="106"/>
      <c r="AU442" s="106"/>
      <c r="AV442" s="106"/>
      <c r="AW442" s="106"/>
      <c r="AX442" s="106"/>
      <c r="AY442" s="106"/>
      <c r="AZ442" s="106"/>
      <c r="BA442" s="106"/>
      <c r="BB442" s="106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 s="106"/>
      <c r="BQ442" s="106"/>
      <c r="BR442" s="106"/>
      <c r="BS442" s="106"/>
      <c r="BT442" s="106"/>
      <c r="BU442" s="106"/>
    </row>
    <row r="443" spans="15:73">
      <c r="O443" s="106"/>
      <c r="P443" s="106"/>
      <c r="Q443" s="106"/>
      <c r="R443" s="106"/>
      <c r="S443" s="106"/>
      <c r="T443" s="106"/>
      <c r="U443" s="106"/>
      <c r="V443" s="106"/>
      <c r="W443" s="106"/>
      <c r="X443" s="106"/>
      <c r="Y443" s="106"/>
      <c r="Z443" s="106"/>
      <c r="AA443" s="106"/>
      <c r="AB443" s="106"/>
      <c r="AC443" s="106"/>
      <c r="AD443" s="106"/>
      <c r="AE443" s="106"/>
      <c r="AF443" s="106"/>
      <c r="AG443" s="106"/>
      <c r="AH443" s="106"/>
      <c r="AI443" s="106"/>
      <c r="AJ443" s="106"/>
      <c r="AK443" s="106"/>
      <c r="AL443" s="106"/>
      <c r="AM443" s="106"/>
      <c r="AN443" s="106"/>
      <c r="AO443" s="106"/>
      <c r="AP443" s="106"/>
      <c r="AQ443" s="106"/>
      <c r="AR443" s="106"/>
      <c r="AS443" s="106"/>
      <c r="AT443" s="106"/>
      <c r="AU443" s="106"/>
      <c r="AV443" s="106"/>
      <c r="AW443" s="106"/>
      <c r="AX443" s="106"/>
      <c r="AY443" s="106"/>
      <c r="AZ443" s="106"/>
      <c r="BA443" s="106"/>
      <c r="BB443" s="106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</row>
    <row r="444" spans="15:73"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  <c r="Y444" s="106"/>
      <c r="Z444" s="106"/>
      <c r="AA444" s="106"/>
      <c r="AB444" s="106"/>
      <c r="AC444" s="106"/>
      <c r="AD444" s="106"/>
      <c r="AE444" s="106"/>
      <c r="AF444" s="106"/>
      <c r="AG444" s="106"/>
      <c r="AH444" s="106"/>
      <c r="AI444" s="106"/>
      <c r="AJ444" s="106"/>
      <c r="AK444" s="106"/>
      <c r="AL444" s="106"/>
      <c r="AM444" s="106"/>
      <c r="AN444" s="106"/>
      <c r="AO444" s="106"/>
      <c r="AP444" s="106"/>
      <c r="AQ444" s="106"/>
      <c r="AR444" s="106"/>
      <c r="AS444" s="106"/>
      <c r="AT444" s="106"/>
      <c r="AU444" s="106"/>
      <c r="AV444" s="106"/>
      <c r="AW444" s="106"/>
      <c r="AX444" s="106"/>
      <c r="AY444" s="106"/>
      <c r="AZ444" s="106"/>
      <c r="BA444" s="106"/>
      <c r="BB444" s="106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</row>
    <row r="445" spans="15:73">
      <c r="O445" s="106"/>
      <c r="P445" s="106"/>
      <c r="Q445" s="106"/>
      <c r="R445" s="106"/>
      <c r="S445" s="106"/>
      <c r="T445" s="106"/>
      <c r="U445" s="106"/>
      <c r="V445" s="106"/>
      <c r="W445" s="106"/>
      <c r="X445" s="106"/>
      <c r="Y445" s="106"/>
      <c r="Z445" s="106"/>
      <c r="AA445" s="106"/>
      <c r="AB445" s="106"/>
      <c r="AC445" s="106"/>
      <c r="AD445" s="106"/>
      <c r="AE445" s="106"/>
      <c r="AF445" s="106"/>
      <c r="AG445" s="106"/>
      <c r="AH445" s="106"/>
      <c r="AI445" s="106"/>
      <c r="AJ445" s="106"/>
      <c r="AK445" s="106"/>
      <c r="AL445" s="106"/>
      <c r="AM445" s="106"/>
      <c r="AN445" s="106"/>
      <c r="AO445" s="106"/>
      <c r="AP445" s="106"/>
      <c r="AQ445" s="106"/>
      <c r="AR445" s="106"/>
      <c r="AS445" s="106"/>
      <c r="AT445" s="106"/>
      <c r="AU445" s="106"/>
      <c r="AV445" s="106"/>
      <c r="AW445" s="106"/>
      <c r="AX445" s="106"/>
      <c r="AY445" s="106"/>
      <c r="AZ445" s="106"/>
      <c r="BA445" s="106"/>
      <c r="BB445" s="106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 s="106"/>
      <c r="BQ445" s="106"/>
      <c r="BR445" s="106"/>
      <c r="BS445" s="106"/>
      <c r="BT445" s="106"/>
      <c r="BU445" s="106"/>
    </row>
    <row r="446" spans="15:73"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  <c r="Y446" s="106"/>
      <c r="Z446" s="106"/>
      <c r="AA446" s="106"/>
      <c r="AB446" s="106"/>
      <c r="AC446" s="106"/>
      <c r="AD446" s="106"/>
      <c r="AE446" s="106"/>
      <c r="AF446" s="106"/>
      <c r="AG446" s="106"/>
      <c r="AH446" s="106"/>
      <c r="AI446" s="106"/>
      <c r="AJ446" s="106"/>
      <c r="AK446" s="106"/>
      <c r="AL446" s="106"/>
      <c r="AM446" s="106"/>
      <c r="AN446" s="106"/>
      <c r="AO446" s="106"/>
      <c r="AP446" s="106"/>
      <c r="AQ446" s="106"/>
      <c r="AR446" s="106"/>
      <c r="AS446" s="106"/>
      <c r="AT446" s="106"/>
      <c r="AU446" s="106"/>
      <c r="AV446" s="106"/>
      <c r="AW446" s="106"/>
      <c r="AX446" s="106"/>
      <c r="AY446" s="106"/>
      <c r="AZ446" s="106"/>
      <c r="BA446" s="106"/>
      <c r="BB446" s="106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 s="106"/>
      <c r="BQ446" s="106"/>
      <c r="BR446" s="106"/>
      <c r="BS446" s="106"/>
      <c r="BT446" s="106"/>
      <c r="BU446" s="106"/>
    </row>
    <row r="447" spans="15:73"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  <c r="Y447" s="106"/>
      <c r="Z447" s="106"/>
      <c r="AA447" s="106"/>
      <c r="AB447" s="106"/>
      <c r="AC447" s="106"/>
      <c r="AD447" s="106"/>
      <c r="AE447" s="106"/>
      <c r="AF447" s="106"/>
      <c r="AG447" s="106"/>
      <c r="AH447" s="106"/>
      <c r="AI447" s="106"/>
      <c r="AJ447" s="106"/>
      <c r="AK447" s="106"/>
      <c r="AL447" s="106"/>
      <c r="AM447" s="106"/>
      <c r="AN447" s="106"/>
      <c r="AO447" s="106"/>
      <c r="AP447" s="106"/>
      <c r="AQ447" s="106"/>
      <c r="AR447" s="106"/>
      <c r="AS447" s="106"/>
      <c r="AT447" s="106"/>
      <c r="AU447" s="106"/>
      <c r="AV447" s="106"/>
      <c r="AW447" s="106"/>
      <c r="AX447" s="106"/>
      <c r="AY447" s="106"/>
      <c r="AZ447" s="106"/>
      <c r="BA447" s="106"/>
      <c r="BB447" s="106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 s="106"/>
      <c r="BQ447" s="106"/>
      <c r="BR447" s="106"/>
      <c r="BS447" s="106"/>
      <c r="BT447" s="106"/>
      <c r="BU447" s="106"/>
    </row>
    <row r="448" spans="15:73"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</row>
    <row r="449" spans="15:73"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</row>
    <row r="450" spans="15:73"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</row>
    <row r="451" spans="15:73"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</row>
    <row r="452" spans="15:73"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</row>
    <row r="453" spans="15:73"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</row>
    <row r="454" spans="15:73"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</row>
    <row r="455" spans="15:73"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</row>
    <row r="456" spans="15:73"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</row>
    <row r="457" spans="15:73"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</row>
    <row r="458" spans="15:73"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</row>
    <row r="459" spans="15:73"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</row>
    <row r="460" spans="15:73"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</row>
    <row r="461" spans="15:73">
      <c r="O461" s="106"/>
      <c r="P461" s="106"/>
      <c r="Q461" s="106"/>
      <c r="R461" s="106"/>
      <c r="S461" s="106"/>
      <c r="T461" s="106"/>
      <c r="U461" s="106"/>
      <c r="V461" s="106"/>
      <c r="W461" s="106"/>
      <c r="X461" s="106"/>
      <c r="Y461" s="106"/>
      <c r="Z461" s="106"/>
      <c r="AA461" s="106"/>
      <c r="AB461" s="106"/>
      <c r="AC461" s="106"/>
      <c r="AD461" s="106"/>
      <c r="AE461" s="106"/>
      <c r="AF461" s="106"/>
      <c r="AG461" s="106"/>
      <c r="AH461" s="106"/>
      <c r="AI461" s="106"/>
      <c r="AJ461" s="106"/>
      <c r="AK461" s="106"/>
      <c r="AL461" s="106"/>
      <c r="AM461" s="106"/>
      <c r="AN461" s="106"/>
      <c r="AO461" s="106"/>
      <c r="AP461" s="106"/>
      <c r="AQ461" s="106"/>
      <c r="AR461" s="106"/>
      <c r="AS461" s="106"/>
      <c r="AT461" s="106"/>
      <c r="AU461" s="106"/>
      <c r="AV461" s="106"/>
      <c r="AW461" s="106"/>
      <c r="AX461" s="106"/>
      <c r="AY461" s="106"/>
      <c r="AZ461" s="106"/>
      <c r="BA461" s="106"/>
      <c r="BB461" s="106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 s="106"/>
      <c r="BQ461" s="106"/>
      <c r="BR461" s="106"/>
      <c r="BS461" s="106"/>
      <c r="BT461" s="106"/>
      <c r="BU461" s="106"/>
    </row>
    <row r="462" spans="15:73">
      <c r="O462" s="106"/>
      <c r="P462" s="106"/>
      <c r="Q462" s="106"/>
      <c r="R462" s="106"/>
      <c r="S462" s="106"/>
      <c r="T462" s="106"/>
      <c r="U462" s="106"/>
      <c r="V462" s="106"/>
      <c r="W462" s="106"/>
      <c r="X462" s="106"/>
      <c r="Y462" s="106"/>
      <c r="Z462" s="106"/>
      <c r="AA462" s="106"/>
      <c r="AB462" s="106"/>
      <c r="AC462" s="106"/>
      <c r="AD462" s="106"/>
      <c r="AE462" s="106"/>
      <c r="AF462" s="106"/>
      <c r="AG462" s="106"/>
      <c r="AH462" s="106"/>
      <c r="AI462" s="106"/>
      <c r="AJ462" s="106"/>
      <c r="AK462" s="106"/>
      <c r="AL462" s="106"/>
      <c r="AM462" s="106"/>
      <c r="AN462" s="106"/>
      <c r="AO462" s="106"/>
      <c r="AP462" s="106"/>
      <c r="AQ462" s="106"/>
      <c r="AR462" s="106"/>
      <c r="AS462" s="106"/>
      <c r="AT462" s="106"/>
      <c r="AU462" s="106"/>
      <c r="AV462" s="106"/>
      <c r="AW462" s="106"/>
      <c r="AX462" s="106"/>
      <c r="AY462" s="106"/>
      <c r="AZ462" s="106"/>
      <c r="BA462" s="106"/>
      <c r="BB462" s="106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 s="106"/>
      <c r="BQ462" s="106"/>
      <c r="BR462" s="106"/>
      <c r="BS462" s="106"/>
      <c r="BT462" s="106"/>
      <c r="BU462" s="106"/>
    </row>
    <row r="463" spans="15:73">
      <c r="O463" s="106"/>
      <c r="P463" s="106"/>
      <c r="Q463" s="106"/>
      <c r="R463" s="106"/>
      <c r="S463" s="106"/>
      <c r="T463" s="106"/>
      <c r="U463" s="106"/>
      <c r="V463" s="106"/>
      <c r="W463" s="106"/>
      <c r="X463" s="106"/>
      <c r="Y463" s="106"/>
      <c r="Z463" s="106"/>
      <c r="AA463" s="106"/>
      <c r="AB463" s="106"/>
      <c r="AC463" s="106"/>
      <c r="AD463" s="106"/>
      <c r="AE463" s="106"/>
      <c r="AF463" s="106"/>
      <c r="AG463" s="106"/>
      <c r="AH463" s="106"/>
      <c r="AI463" s="106"/>
      <c r="AJ463" s="106"/>
      <c r="AK463" s="106"/>
      <c r="AL463" s="106"/>
      <c r="AM463" s="106"/>
      <c r="AN463" s="106"/>
      <c r="AO463" s="106"/>
      <c r="AP463" s="106"/>
      <c r="AQ463" s="106"/>
      <c r="AR463" s="106"/>
      <c r="AS463" s="106"/>
      <c r="AT463" s="106"/>
      <c r="AU463" s="106"/>
      <c r="AV463" s="106"/>
      <c r="AW463" s="106"/>
      <c r="AX463" s="106"/>
      <c r="AY463" s="106"/>
      <c r="AZ463" s="106"/>
      <c r="BA463" s="106"/>
      <c r="BB463" s="106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 s="106"/>
      <c r="BQ463" s="106"/>
      <c r="BR463" s="106"/>
      <c r="BS463" s="106"/>
      <c r="BT463" s="106"/>
      <c r="BU463" s="106"/>
    </row>
    <row r="464" spans="15:73">
      <c r="O464" s="106"/>
      <c r="P464" s="106"/>
      <c r="Q464" s="106"/>
      <c r="R464" s="106"/>
      <c r="S464" s="106"/>
      <c r="T464" s="106"/>
      <c r="U464" s="106"/>
      <c r="V464" s="106"/>
      <c r="W464" s="106"/>
      <c r="X464" s="106"/>
      <c r="Y464" s="106"/>
      <c r="Z464" s="106"/>
      <c r="AA464" s="106"/>
      <c r="AB464" s="106"/>
      <c r="AC464" s="106"/>
      <c r="AD464" s="106"/>
      <c r="AE464" s="106"/>
      <c r="AF464" s="106"/>
      <c r="AG464" s="106"/>
      <c r="AH464" s="106"/>
      <c r="AI464" s="106"/>
      <c r="AJ464" s="106"/>
      <c r="AK464" s="106"/>
      <c r="AL464" s="106"/>
      <c r="AM464" s="106"/>
      <c r="AN464" s="106"/>
      <c r="AO464" s="106"/>
      <c r="AP464" s="106"/>
      <c r="AQ464" s="106"/>
      <c r="AR464" s="106"/>
      <c r="AS464" s="106"/>
      <c r="AT464" s="106"/>
      <c r="AU464" s="106"/>
      <c r="AV464" s="106"/>
      <c r="AW464" s="106"/>
      <c r="AX464" s="106"/>
      <c r="AY464" s="106"/>
      <c r="AZ464" s="106"/>
      <c r="BA464" s="106"/>
      <c r="BB464" s="106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 s="106"/>
      <c r="BQ464" s="106"/>
      <c r="BR464" s="106"/>
      <c r="BS464" s="106"/>
      <c r="BT464" s="106"/>
      <c r="BU464" s="106"/>
    </row>
    <row r="465" spans="15:73">
      <c r="O465" s="106"/>
      <c r="P465" s="106"/>
      <c r="Q465" s="106"/>
      <c r="R465" s="106"/>
      <c r="S465" s="106"/>
      <c r="T465" s="106"/>
      <c r="U465" s="106"/>
      <c r="V465" s="106"/>
      <c r="W465" s="106"/>
      <c r="X465" s="106"/>
      <c r="Y465" s="106"/>
      <c r="Z465" s="106"/>
      <c r="AA465" s="106"/>
      <c r="AB465" s="106"/>
      <c r="AC465" s="106"/>
      <c r="AD465" s="106"/>
      <c r="AE465" s="106"/>
      <c r="AF465" s="106"/>
      <c r="AG465" s="106"/>
      <c r="AH465" s="106"/>
      <c r="AI465" s="106"/>
      <c r="AJ465" s="106"/>
      <c r="AK465" s="106"/>
      <c r="AL465" s="106"/>
      <c r="AM465" s="106"/>
      <c r="AN465" s="106"/>
      <c r="AO465" s="106"/>
      <c r="AP465" s="106"/>
      <c r="AQ465" s="106"/>
      <c r="AR465" s="106"/>
      <c r="AS465" s="106"/>
      <c r="AT465" s="106"/>
      <c r="AU465" s="106"/>
      <c r="AV465" s="106"/>
      <c r="AW465" s="106"/>
      <c r="AX465" s="106"/>
      <c r="AY465" s="106"/>
      <c r="AZ465" s="106"/>
      <c r="BA465" s="106"/>
      <c r="BB465" s="106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 s="106"/>
      <c r="BQ465" s="106"/>
      <c r="BR465" s="106"/>
      <c r="BS465" s="106"/>
      <c r="BT465" s="106"/>
      <c r="BU465" s="106"/>
    </row>
    <row r="466" spans="15:73"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  <c r="Y466" s="106"/>
      <c r="Z466" s="106"/>
      <c r="AA466" s="106"/>
      <c r="AB466" s="106"/>
      <c r="AC466" s="106"/>
      <c r="AD466" s="106"/>
      <c r="AE466" s="106"/>
      <c r="AF466" s="106"/>
      <c r="AG466" s="106"/>
      <c r="AH466" s="106"/>
      <c r="AI466" s="106"/>
      <c r="AJ466" s="106"/>
      <c r="AK466" s="106"/>
      <c r="AL466" s="106"/>
      <c r="AM466" s="106"/>
      <c r="AN466" s="106"/>
      <c r="AO466" s="106"/>
      <c r="AP466" s="106"/>
      <c r="AQ466" s="106"/>
      <c r="AR466" s="106"/>
      <c r="AS466" s="106"/>
      <c r="AT466" s="106"/>
      <c r="AU466" s="106"/>
      <c r="AV466" s="106"/>
      <c r="AW466" s="106"/>
      <c r="AX466" s="106"/>
      <c r="AY466" s="106"/>
      <c r="AZ466" s="106"/>
      <c r="BA466" s="106"/>
      <c r="BB466" s="106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 s="106"/>
      <c r="BQ466" s="106"/>
      <c r="BR466" s="106"/>
      <c r="BS466" s="106"/>
      <c r="BT466" s="106"/>
      <c r="BU466" s="106"/>
    </row>
    <row r="467" spans="15:73">
      <c r="O467" s="106"/>
      <c r="P467" s="106"/>
      <c r="Q467" s="106"/>
      <c r="R467" s="106"/>
      <c r="S467" s="106"/>
      <c r="T467" s="106"/>
      <c r="U467" s="106"/>
      <c r="V467" s="106"/>
      <c r="W467" s="106"/>
      <c r="X467" s="106"/>
      <c r="Y467" s="106"/>
      <c r="Z467" s="106"/>
      <c r="AA467" s="106"/>
      <c r="AB467" s="106"/>
      <c r="AC467" s="106"/>
      <c r="AD467" s="106"/>
      <c r="AE467" s="106"/>
      <c r="AF467" s="106"/>
      <c r="AG467" s="106"/>
      <c r="AH467" s="106"/>
      <c r="AI467" s="106"/>
      <c r="AJ467" s="106"/>
      <c r="AK467" s="106"/>
      <c r="AL467" s="106"/>
      <c r="AM467" s="106"/>
      <c r="AN467" s="106"/>
      <c r="AO467" s="106"/>
      <c r="AP467" s="106"/>
      <c r="AQ467" s="106"/>
      <c r="AR467" s="106"/>
      <c r="AS467" s="106"/>
      <c r="AT467" s="106"/>
      <c r="AU467" s="106"/>
      <c r="AV467" s="106"/>
      <c r="AW467" s="106"/>
      <c r="AX467" s="106"/>
      <c r="AY467" s="106"/>
      <c r="AZ467" s="106"/>
      <c r="BA467" s="106"/>
      <c r="BB467" s="106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 s="106"/>
      <c r="BQ467" s="106"/>
      <c r="BR467" s="106"/>
      <c r="BS467" s="106"/>
      <c r="BT467" s="106"/>
      <c r="BU467" s="106"/>
    </row>
    <row r="468" spans="15:73">
      <c r="O468" s="106"/>
      <c r="P468" s="106"/>
      <c r="Q468" s="106"/>
      <c r="R468" s="106"/>
      <c r="S468" s="106"/>
      <c r="T468" s="106"/>
      <c r="U468" s="106"/>
      <c r="V468" s="106"/>
      <c r="W468" s="106"/>
      <c r="X468" s="106"/>
      <c r="Y468" s="106"/>
      <c r="Z468" s="106"/>
      <c r="AA468" s="106"/>
      <c r="AB468" s="106"/>
      <c r="AC468" s="106"/>
      <c r="AD468" s="106"/>
      <c r="AE468" s="106"/>
      <c r="AF468" s="106"/>
      <c r="AG468" s="106"/>
      <c r="AH468" s="106"/>
      <c r="AI468" s="106"/>
      <c r="AJ468" s="106"/>
      <c r="AK468" s="106"/>
      <c r="AL468" s="106"/>
      <c r="AM468" s="106"/>
      <c r="AN468" s="106"/>
      <c r="AO468" s="106"/>
      <c r="AP468" s="106"/>
      <c r="AQ468" s="106"/>
      <c r="AR468" s="106"/>
      <c r="AS468" s="106"/>
      <c r="AT468" s="106"/>
      <c r="AU468" s="106"/>
      <c r="AV468" s="106"/>
      <c r="AW468" s="106"/>
      <c r="AX468" s="106"/>
      <c r="AY468" s="106"/>
      <c r="AZ468" s="106"/>
      <c r="BA468" s="106"/>
      <c r="BB468" s="106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 s="106"/>
      <c r="BQ468" s="106"/>
      <c r="BR468" s="106"/>
      <c r="BS468" s="106"/>
      <c r="BT468" s="106"/>
      <c r="BU468" s="106"/>
    </row>
    <row r="469" spans="15:73">
      <c r="O469" s="106"/>
      <c r="P469" s="106"/>
      <c r="Q469" s="106"/>
      <c r="R469" s="106"/>
      <c r="S469" s="106"/>
      <c r="T469" s="106"/>
      <c r="U469" s="106"/>
      <c r="V469" s="106"/>
      <c r="W469" s="106"/>
      <c r="X469" s="106"/>
      <c r="Y469" s="106"/>
      <c r="Z469" s="106"/>
      <c r="AA469" s="106"/>
      <c r="AB469" s="106"/>
      <c r="AC469" s="106"/>
      <c r="AD469" s="106"/>
      <c r="AE469" s="106"/>
      <c r="AF469" s="106"/>
      <c r="AG469" s="106"/>
      <c r="AH469" s="106"/>
      <c r="AI469" s="106"/>
      <c r="AJ469" s="106"/>
      <c r="AK469" s="106"/>
      <c r="AL469" s="106"/>
      <c r="AM469" s="106"/>
      <c r="AN469" s="106"/>
      <c r="AO469" s="106"/>
      <c r="AP469" s="106"/>
      <c r="AQ469" s="106"/>
      <c r="AR469" s="106"/>
      <c r="AS469" s="106"/>
      <c r="AT469" s="106"/>
      <c r="AU469" s="106"/>
      <c r="AV469" s="106"/>
      <c r="AW469" s="106"/>
      <c r="AX469" s="106"/>
      <c r="AY469" s="106"/>
      <c r="AZ469" s="106"/>
      <c r="BA469" s="106"/>
      <c r="BB469" s="106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 s="106"/>
      <c r="BQ469" s="106"/>
      <c r="BR469" s="106"/>
      <c r="BS469" s="106"/>
      <c r="BT469" s="106"/>
      <c r="BU469" s="106"/>
    </row>
    <row r="470" spans="15:73">
      <c r="O470" s="106"/>
      <c r="P470" s="106"/>
      <c r="Q470" s="106"/>
      <c r="R470" s="106"/>
      <c r="S470" s="106"/>
      <c r="T470" s="106"/>
      <c r="U470" s="106"/>
      <c r="V470" s="106"/>
      <c r="W470" s="106"/>
      <c r="X470" s="106"/>
      <c r="Y470" s="106"/>
      <c r="Z470" s="106"/>
      <c r="AA470" s="106"/>
      <c r="AB470" s="106"/>
      <c r="AC470" s="106"/>
      <c r="AD470" s="106"/>
      <c r="AE470" s="106"/>
      <c r="AF470" s="106"/>
      <c r="AG470" s="106"/>
      <c r="AH470" s="106"/>
      <c r="AI470" s="106"/>
      <c r="AJ470" s="106"/>
      <c r="AK470" s="106"/>
      <c r="AL470" s="106"/>
      <c r="AM470" s="106"/>
      <c r="AN470" s="106"/>
      <c r="AO470" s="106"/>
      <c r="AP470" s="106"/>
      <c r="AQ470" s="106"/>
      <c r="AR470" s="106"/>
      <c r="AS470" s="106"/>
      <c r="AT470" s="106"/>
      <c r="AU470" s="106"/>
      <c r="AV470" s="106"/>
      <c r="AW470" s="106"/>
      <c r="AX470" s="106"/>
      <c r="AY470" s="106"/>
      <c r="AZ470" s="106"/>
      <c r="BA470" s="106"/>
      <c r="BB470" s="106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 s="106"/>
      <c r="BQ470" s="106"/>
      <c r="BR470" s="106"/>
      <c r="BS470" s="106"/>
      <c r="BT470" s="106"/>
      <c r="BU470" s="106"/>
    </row>
    <row r="471" spans="15:73">
      <c r="O471" s="106"/>
      <c r="P471" s="106"/>
      <c r="Q471" s="106"/>
      <c r="R471" s="106"/>
      <c r="S471" s="106"/>
      <c r="T471" s="106"/>
      <c r="U471" s="106"/>
      <c r="V471" s="106"/>
      <c r="W471" s="106"/>
      <c r="X471" s="106"/>
      <c r="Y471" s="106"/>
      <c r="Z471" s="106"/>
      <c r="AA471" s="106"/>
      <c r="AB471" s="106"/>
      <c r="AC471" s="106"/>
      <c r="AD471" s="106"/>
      <c r="AE471" s="106"/>
      <c r="AF471" s="106"/>
      <c r="AG471" s="106"/>
      <c r="AH471" s="106"/>
      <c r="AI471" s="106"/>
      <c r="AJ471" s="106"/>
      <c r="AK471" s="106"/>
      <c r="AL471" s="106"/>
      <c r="AM471" s="106"/>
      <c r="AN471" s="106"/>
      <c r="AO471" s="106"/>
      <c r="AP471" s="106"/>
      <c r="AQ471" s="106"/>
      <c r="AR471" s="106"/>
      <c r="AS471" s="106"/>
      <c r="AT471" s="106"/>
      <c r="AU471" s="106"/>
      <c r="AV471" s="106"/>
      <c r="AW471" s="106"/>
      <c r="AX471" s="106"/>
      <c r="AY471" s="106"/>
      <c r="AZ471" s="106"/>
      <c r="BA471" s="106"/>
      <c r="BB471" s="106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 s="106"/>
      <c r="BQ471" s="106"/>
      <c r="BR471" s="106"/>
      <c r="BS471" s="106"/>
      <c r="BT471" s="106"/>
      <c r="BU471" s="106"/>
    </row>
    <row r="472" spans="15:73">
      <c r="O472" s="106"/>
      <c r="P472" s="106"/>
      <c r="Q472" s="106"/>
      <c r="R472" s="106"/>
      <c r="S472" s="106"/>
      <c r="T472" s="106"/>
      <c r="U472" s="106"/>
      <c r="V472" s="106"/>
      <c r="W472" s="106"/>
      <c r="X472" s="106"/>
      <c r="Y472" s="106"/>
      <c r="Z472" s="106"/>
      <c r="AA472" s="106"/>
      <c r="AB472" s="106"/>
      <c r="AC472" s="106"/>
      <c r="AD472" s="106"/>
      <c r="AE472" s="106"/>
      <c r="AF472" s="106"/>
      <c r="AG472" s="106"/>
      <c r="AH472" s="106"/>
      <c r="AI472" s="106"/>
      <c r="AJ472" s="106"/>
      <c r="AK472" s="106"/>
      <c r="AL472" s="106"/>
      <c r="AM472" s="106"/>
      <c r="AN472" s="106"/>
      <c r="AO472" s="106"/>
      <c r="AP472" s="106"/>
      <c r="AQ472" s="106"/>
      <c r="AR472" s="106"/>
      <c r="AS472" s="106"/>
      <c r="AT472" s="106"/>
      <c r="AU472" s="106"/>
      <c r="AV472" s="106"/>
      <c r="AW472" s="106"/>
      <c r="AX472" s="106"/>
      <c r="AY472" s="106"/>
      <c r="AZ472" s="106"/>
      <c r="BA472" s="106"/>
      <c r="BB472" s="106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 s="106"/>
      <c r="BQ472" s="106"/>
      <c r="BR472" s="106"/>
      <c r="BS472" s="106"/>
      <c r="BT472" s="106"/>
      <c r="BU472" s="106"/>
    </row>
    <row r="473" spans="15:73">
      <c r="O473" s="106"/>
      <c r="P473" s="106"/>
      <c r="Q473" s="106"/>
      <c r="R473" s="106"/>
      <c r="S473" s="106"/>
      <c r="T473" s="106"/>
      <c r="U473" s="106"/>
      <c r="V473" s="106"/>
      <c r="W473" s="106"/>
      <c r="X473" s="106"/>
      <c r="Y473" s="106"/>
      <c r="Z473" s="106"/>
      <c r="AA473" s="106"/>
      <c r="AB473" s="106"/>
      <c r="AC473" s="106"/>
      <c r="AD473" s="106"/>
      <c r="AE473" s="106"/>
      <c r="AF473" s="106"/>
      <c r="AG473" s="106"/>
      <c r="AH473" s="106"/>
      <c r="AI473" s="106"/>
      <c r="AJ473" s="106"/>
      <c r="AK473" s="106"/>
      <c r="AL473" s="106"/>
      <c r="AM473" s="106"/>
      <c r="AN473" s="106"/>
      <c r="AO473" s="106"/>
      <c r="AP473" s="106"/>
      <c r="AQ473" s="106"/>
      <c r="AR473" s="106"/>
      <c r="AS473" s="106"/>
      <c r="AT473" s="106"/>
      <c r="AU473" s="106"/>
      <c r="AV473" s="106"/>
      <c r="AW473" s="106"/>
      <c r="AX473" s="106"/>
      <c r="AY473" s="106"/>
      <c r="AZ473" s="106"/>
      <c r="BA473" s="106"/>
      <c r="BB473" s="106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 s="106"/>
      <c r="BQ473" s="106"/>
      <c r="BR473" s="106"/>
      <c r="BS473" s="106"/>
      <c r="BT473" s="106"/>
      <c r="BU473" s="106"/>
    </row>
    <row r="474" spans="15:73"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 s="106"/>
      <c r="BQ474" s="106"/>
      <c r="BR474" s="106"/>
      <c r="BS474" s="106"/>
      <c r="BT474" s="106"/>
      <c r="BU474" s="106"/>
    </row>
    <row r="475" spans="15:73"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</row>
    <row r="476" spans="15:73"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</row>
    <row r="477" spans="15:73"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</row>
    <row r="478" spans="15:73"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</row>
    <row r="479" spans="15:73"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</row>
    <row r="480" spans="15:73"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</row>
    <row r="481" spans="15:73"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  <c r="AF481" s="106"/>
      <c r="AG481" s="106"/>
      <c r="AH481" s="106"/>
      <c r="AI481" s="106"/>
      <c r="AJ481" s="106"/>
      <c r="AK481" s="106"/>
      <c r="AL481" s="106"/>
      <c r="AM481" s="106"/>
      <c r="AN481" s="106"/>
      <c r="AO481" s="106"/>
      <c r="AP481" s="106"/>
      <c r="AQ481" s="106"/>
      <c r="AR481" s="106"/>
      <c r="AS481" s="106"/>
      <c r="AT481" s="106"/>
      <c r="AU481" s="106"/>
      <c r="AV481" s="106"/>
      <c r="AW481" s="106"/>
      <c r="AX481" s="106"/>
      <c r="AY481" s="106"/>
      <c r="AZ481" s="106"/>
      <c r="BA481" s="106"/>
      <c r="BB481" s="106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 s="106"/>
      <c r="BQ481" s="106"/>
      <c r="BR481" s="106"/>
      <c r="BS481" s="106"/>
      <c r="BT481" s="106"/>
      <c r="BU481" s="106"/>
    </row>
    <row r="482" spans="15:73"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</row>
    <row r="483" spans="15:73"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</row>
    <row r="484" spans="15:73"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</row>
    <row r="485" spans="15:73">
      <c r="O485" s="106"/>
      <c r="P485" s="106"/>
      <c r="Q485" s="106"/>
      <c r="R485" s="106"/>
      <c r="S485" s="106"/>
      <c r="T485" s="106"/>
      <c r="U485" s="106"/>
      <c r="V485" s="106"/>
      <c r="W485" s="106"/>
      <c r="X485" s="106"/>
      <c r="Y485" s="106"/>
      <c r="Z485" s="106"/>
      <c r="AA485" s="106"/>
      <c r="AB485" s="106"/>
      <c r="AC485" s="106"/>
      <c r="AD485" s="106"/>
      <c r="AE485" s="106"/>
      <c r="AF485" s="106"/>
      <c r="AG485" s="106"/>
      <c r="AH485" s="106"/>
      <c r="AI485" s="106"/>
      <c r="AJ485" s="106"/>
      <c r="AK485" s="106"/>
      <c r="AL485" s="106"/>
      <c r="AM485" s="106"/>
      <c r="AN485" s="106"/>
      <c r="AO485" s="106"/>
      <c r="AP485" s="106"/>
      <c r="AQ485" s="106"/>
      <c r="AR485" s="106"/>
      <c r="AS485" s="106"/>
      <c r="AT485" s="106"/>
      <c r="AU485" s="106"/>
      <c r="AV485" s="106"/>
      <c r="AW485" s="106"/>
      <c r="AX485" s="106"/>
      <c r="AY485" s="106"/>
      <c r="AZ485" s="106"/>
      <c r="BA485" s="106"/>
      <c r="BB485" s="106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 s="106"/>
      <c r="BQ485" s="106"/>
      <c r="BR485" s="106"/>
      <c r="BS485" s="106"/>
      <c r="BT485" s="106"/>
      <c r="BU485" s="106"/>
    </row>
    <row r="486" spans="15:73"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</row>
    <row r="487" spans="15:73"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</row>
    <row r="488" spans="15:73"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</row>
    <row r="489" spans="15:73"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</row>
    <row r="490" spans="15:73"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</row>
    <row r="491" spans="15:73"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</row>
    <row r="492" spans="15:73"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</row>
    <row r="493" spans="15:73"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</row>
    <row r="494" spans="15:73"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</row>
    <row r="495" spans="15:73">
      <c r="O495" s="106"/>
      <c r="P495" s="106"/>
      <c r="Q495" s="106"/>
      <c r="R495" s="106"/>
      <c r="S495" s="106"/>
      <c r="T495" s="106"/>
      <c r="U495" s="106"/>
      <c r="V495" s="106"/>
      <c r="W495" s="106"/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106"/>
      <c r="AZ495" s="106"/>
      <c r="BA495" s="106"/>
      <c r="BB495" s="106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 s="106"/>
      <c r="BQ495" s="106"/>
      <c r="BR495" s="106"/>
      <c r="BS495" s="106"/>
      <c r="BT495" s="106"/>
      <c r="BU495" s="106"/>
    </row>
    <row r="496" spans="15:73"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</row>
    <row r="497" spans="15:73"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</row>
    <row r="498" spans="15:73"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</row>
    <row r="499" spans="15:73"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</row>
    <row r="500" spans="15:73"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</row>
    <row r="501" spans="15:73"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</row>
    <row r="502" spans="15:73"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</row>
    <row r="503" spans="15:73"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</row>
    <row r="504" spans="15:73"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</row>
    <row r="505" spans="15:73"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</row>
    <row r="506" spans="15:73"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</row>
    <row r="507" spans="15:73"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</row>
    <row r="508" spans="15:73"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</row>
    <row r="509" spans="15:73"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</row>
    <row r="510" spans="15:73"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</row>
    <row r="511" spans="15:73"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</row>
    <row r="512" spans="15:73"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</row>
    <row r="513" spans="15:73"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</row>
    <row r="514" spans="15:73"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</row>
    <row r="515" spans="15:73">
      <c r="O515" s="106"/>
      <c r="P515" s="106"/>
      <c r="Q515" s="106"/>
      <c r="R515" s="106"/>
      <c r="S515" s="106"/>
      <c r="T515" s="106"/>
      <c r="U515" s="106"/>
      <c r="V515" s="106"/>
      <c r="W515" s="106"/>
      <c r="X515" s="106"/>
      <c r="Y515" s="106"/>
      <c r="Z515" s="106"/>
      <c r="AA515" s="106"/>
      <c r="AB515" s="106"/>
      <c r="AC515" s="106"/>
      <c r="AD515" s="106"/>
      <c r="AE515" s="106"/>
      <c r="AF515" s="106"/>
      <c r="AG515" s="106"/>
      <c r="AH515" s="106"/>
      <c r="AI515" s="106"/>
      <c r="AJ515" s="106"/>
      <c r="AK515" s="106"/>
      <c r="AL515" s="106"/>
      <c r="AM515" s="106"/>
      <c r="AN515" s="106"/>
      <c r="AO515" s="106"/>
      <c r="AP515" s="106"/>
      <c r="AQ515" s="106"/>
      <c r="AR515" s="106"/>
      <c r="AS515" s="106"/>
      <c r="AT515" s="106"/>
      <c r="AU515" s="106"/>
      <c r="AV515" s="106"/>
      <c r="AW515" s="106"/>
      <c r="AX515" s="106"/>
      <c r="AY515" s="106"/>
      <c r="AZ515" s="106"/>
      <c r="BA515" s="106"/>
      <c r="BB515" s="106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 s="106"/>
      <c r="BQ515" s="106"/>
      <c r="BR515" s="106"/>
      <c r="BS515" s="106"/>
      <c r="BT515" s="106"/>
      <c r="BU515" s="106"/>
    </row>
    <row r="516" spans="15:73">
      <c r="O516" s="106"/>
      <c r="P516" s="106"/>
      <c r="Q516" s="106"/>
      <c r="R516" s="106"/>
      <c r="S516" s="106"/>
      <c r="T516" s="106"/>
      <c r="U516" s="106"/>
      <c r="V516" s="106"/>
      <c r="W516" s="106"/>
      <c r="X516" s="106"/>
      <c r="Y516" s="106"/>
      <c r="Z516" s="106"/>
      <c r="AA516" s="106"/>
      <c r="AB516" s="106"/>
      <c r="AC516" s="106"/>
      <c r="AD516" s="106"/>
      <c r="AE516" s="106"/>
      <c r="AF516" s="106"/>
      <c r="AG516" s="106"/>
      <c r="AH516" s="106"/>
      <c r="AI516" s="106"/>
      <c r="AJ516" s="106"/>
      <c r="AK516" s="106"/>
      <c r="AL516" s="106"/>
      <c r="AM516" s="106"/>
      <c r="AN516" s="106"/>
      <c r="AO516" s="106"/>
      <c r="AP516" s="106"/>
      <c r="AQ516" s="106"/>
      <c r="AR516" s="106"/>
      <c r="AS516" s="106"/>
      <c r="AT516" s="106"/>
      <c r="AU516" s="106"/>
      <c r="AV516" s="106"/>
      <c r="AW516" s="106"/>
      <c r="AX516" s="106"/>
      <c r="AY516" s="106"/>
      <c r="AZ516" s="106"/>
      <c r="BA516" s="106"/>
      <c r="BB516" s="106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 s="106"/>
      <c r="BQ516" s="106"/>
      <c r="BR516" s="106"/>
      <c r="BS516" s="106"/>
      <c r="BT516" s="106"/>
      <c r="BU516" s="106"/>
    </row>
    <row r="517" spans="15:73">
      <c r="O517" s="106"/>
      <c r="P517" s="106"/>
      <c r="Q517" s="106"/>
      <c r="R517" s="106"/>
      <c r="S517" s="106"/>
      <c r="T517" s="106"/>
      <c r="U517" s="106"/>
      <c r="V517" s="106"/>
      <c r="W517" s="106"/>
      <c r="X517" s="106"/>
      <c r="Y517" s="106"/>
      <c r="Z517" s="106"/>
      <c r="AA517" s="106"/>
      <c r="AB517" s="106"/>
      <c r="AC517" s="106"/>
      <c r="AD517" s="106"/>
      <c r="AE517" s="106"/>
      <c r="AF517" s="106"/>
      <c r="AG517" s="106"/>
      <c r="AH517" s="106"/>
      <c r="AI517" s="106"/>
      <c r="AJ517" s="106"/>
      <c r="AK517" s="106"/>
      <c r="AL517" s="106"/>
      <c r="AM517" s="106"/>
      <c r="AN517" s="106"/>
      <c r="AO517" s="106"/>
      <c r="AP517" s="106"/>
      <c r="AQ517" s="106"/>
      <c r="AR517" s="106"/>
      <c r="AS517" s="106"/>
      <c r="AT517" s="106"/>
      <c r="AU517" s="106"/>
      <c r="AV517" s="106"/>
      <c r="AW517" s="106"/>
      <c r="AX517" s="106"/>
      <c r="AY517" s="106"/>
      <c r="AZ517" s="106"/>
      <c r="BA517" s="106"/>
      <c r="BB517" s="106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 s="106"/>
      <c r="BQ517" s="106"/>
      <c r="BR517" s="106"/>
      <c r="BS517" s="106"/>
      <c r="BT517" s="106"/>
      <c r="BU517" s="106"/>
    </row>
    <row r="518" spans="15:73">
      <c r="O518" s="106"/>
      <c r="P518" s="106"/>
      <c r="Q518" s="106"/>
      <c r="R518" s="106"/>
      <c r="S518" s="106"/>
      <c r="T518" s="106"/>
      <c r="U518" s="106"/>
      <c r="V518" s="106"/>
      <c r="W518" s="106"/>
      <c r="X518" s="106"/>
      <c r="Y518" s="106"/>
      <c r="Z518" s="106"/>
      <c r="AA518" s="106"/>
      <c r="AB518" s="106"/>
      <c r="AC518" s="106"/>
      <c r="AD518" s="106"/>
      <c r="AE518" s="106"/>
      <c r="AF518" s="106"/>
      <c r="AG518" s="106"/>
      <c r="AH518" s="106"/>
      <c r="AI518" s="106"/>
      <c r="AJ518" s="106"/>
      <c r="AK518" s="106"/>
      <c r="AL518" s="106"/>
      <c r="AM518" s="106"/>
      <c r="AN518" s="106"/>
      <c r="AO518" s="106"/>
      <c r="AP518" s="106"/>
      <c r="AQ518" s="106"/>
      <c r="AR518" s="106"/>
      <c r="AS518" s="106"/>
      <c r="AT518" s="106"/>
      <c r="AU518" s="106"/>
      <c r="AV518" s="106"/>
      <c r="AW518" s="106"/>
      <c r="AX518" s="106"/>
      <c r="AY518" s="106"/>
      <c r="AZ518" s="106"/>
      <c r="BA518" s="106"/>
      <c r="BB518" s="106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 s="106"/>
      <c r="BQ518" s="106"/>
      <c r="BR518" s="106"/>
      <c r="BS518" s="106"/>
      <c r="BT518" s="106"/>
      <c r="BU518" s="106"/>
    </row>
    <row r="519" spans="15:73">
      <c r="O519" s="106"/>
      <c r="P519" s="106"/>
      <c r="Q519" s="106"/>
      <c r="R519" s="106"/>
      <c r="S519" s="106"/>
      <c r="T519" s="106"/>
      <c r="U519" s="106"/>
      <c r="V519" s="106"/>
      <c r="W519" s="106"/>
      <c r="X519" s="106"/>
      <c r="Y519" s="106"/>
      <c r="Z519" s="106"/>
      <c r="AA519" s="106"/>
      <c r="AB519" s="106"/>
      <c r="AC519" s="106"/>
      <c r="AD519" s="106"/>
      <c r="AE519" s="106"/>
      <c r="AF519" s="106"/>
      <c r="AG519" s="106"/>
      <c r="AH519" s="106"/>
      <c r="AI519" s="106"/>
      <c r="AJ519" s="106"/>
      <c r="AK519" s="106"/>
      <c r="AL519" s="106"/>
      <c r="AM519" s="106"/>
      <c r="AN519" s="106"/>
      <c r="AO519" s="106"/>
      <c r="AP519" s="106"/>
      <c r="AQ519" s="106"/>
      <c r="AR519" s="106"/>
      <c r="AS519" s="106"/>
      <c r="AT519" s="106"/>
      <c r="AU519" s="106"/>
      <c r="AV519" s="106"/>
      <c r="AW519" s="106"/>
      <c r="AX519" s="106"/>
      <c r="AY519" s="106"/>
      <c r="AZ519" s="106"/>
      <c r="BA519" s="106"/>
      <c r="BB519" s="106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 s="106"/>
      <c r="BQ519" s="106"/>
      <c r="BR519" s="106"/>
      <c r="BS519" s="106"/>
      <c r="BT519" s="106"/>
      <c r="BU519" s="106"/>
    </row>
    <row r="520" spans="15:73">
      <c r="O520" s="106"/>
      <c r="P520" s="106"/>
      <c r="Q520" s="106"/>
      <c r="R520" s="106"/>
      <c r="S520" s="106"/>
      <c r="T520" s="106"/>
      <c r="U520" s="106"/>
      <c r="V520" s="106"/>
      <c r="W520" s="106"/>
      <c r="X520" s="106"/>
      <c r="Y520" s="106"/>
      <c r="Z520" s="106"/>
      <c r="AA520" s="106"/>
      <c r="AB520" s="106"/>
      <c r="AC520" s="106"/>
      <c r="AD520" s="106"/>
      <c r="AE520" s="106"/>
      <c r="AF520" s="106"/>
      <c r="AG520" s="106"/>
      <c r="AH520" s="106"/>
      <c r="AI520" s="106"/>
      <c r="AJ520" s="106"/>
      <c r="AK520" s="106"/>
      <c r="AL520" s="106"/>
      <c r="AM520" s="106"/>
      <c r="AN520" s="106"/>
      <c r="AO520" s="106"/>
      <c r="AP520" s="106"/>
      <c r="AQ520" s="106"/>
      <c r="AR520" s="106"/>
      <c r="AS520" s="106"/>
      <c r="AT520" s="106"/>
      <c r="AU520" s="106"/>
      <c r="AV520" s="106"/>
      <c r="AW520" s="106"/>
      <c r="AX520" s="106"/>
      <c r="AY520" s="106"/>
      <c r="AZ520" s="106"/>
      <c r="BA520" s="106"/>
      <c r="BB520" s="106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 s="106"/>
      <c r="BQ520" s="106"/>
      <c r="BR520" s="106"/>
      <c r="BS520" s="106"/>
      <c r="BT520" s="106"/>
      <c r="BU520" s="106"/>
    </row>
    <row r="521" spans="15:73"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  <c r="Y521" s="106"/>
      <c r="Z521" s="106"/>
      <c r="AA521" s="106"/>
      <c r="AB521" s="106"/>
      <c r="AC521" s="106"/>
      <c r="AD521" s="106"/>
      <c r="AE521" s="106"/>
      <c r="AF521" s="106"/>
      <c r="AG521" s="106"/>
      <c r="AH521" s="106"/>
      <c r="AI521" s="106"/>
      <c r="AJ521" s="106"/>
      <c r="AK521" s="106"/>
      <c r="AL521" s="106"/>
      <c r="AM521" s="106"/>
      <c r="AN521" s="106"/>
      <c r="AO521" s="106"/>
      <c r="AP521" s="106"/>
      <c r="AQ521" s="106"/>
      <c r="AR521" s="106"/>
      <c r="AS521" s="106"/>
      <c r="AT521" s="106"/>
      <c r="AU521" s="106"/>
      <c r="AV521" s="106"/>
      <c r="AW521" s="106"/>
      <c r="AX521" s="106"/>
      <c r="AY521" s="106"/>
      <c r="AZ521" s="106"/>
      <c r="BA521" s="106"/>
      <c r="BB521" s="106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 s="106"/>
      <c r="BQ521" s="106"/>
      <c r="BR521" s="106"/>
      <c r="BS521" s="106"/>
      <c r="BT521" s="106"/>
      <c r="BU521" s="106"/>
    </row>
    <row r="522" spans="15:73"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  <c r="Y522" s="106"/>
      <c r="Z522" s="106"/>
      <c r="AA522" s="106"/>
      <c r="AB522" s="106"/>
      <c r="AC522" s="106"/>
      <c r="AD522" s="106"/>
      <c r="AE522" s="106"/>
      <c r="AF522" s="106"/>
      <c r="AG522" s="106"/>
      <c r="AH522" s="106"/>
      <c r="AI522" s="106"/>
      <c r="AJ522" s="106"/>
      <c r="AK522" s="106"/>
      <c r="AL522" s="106"/>
      <c r="AM522" s="106"/>
      <c r="AN522" s="106"/>
      <c r="AO522" s="106"/>
      <c r="AP522" s="106"/>
      <c r="AQ522" s="106"/>
      <c r="AR522" s="106"/>
      <c r="AS522" s="106"/>
      <c r="AT522" s="106"/>
      <c r="AU522" s="106"/>
      <c r="AV522" s="106"/>
      <c r="AW522" s="106"/>
      <c r="AX522" s="106"/>
      <c r="AY522" s="106"/>
      <c r="AZ522" s="106"/>
      <c r="BA522" s="106"/>
      <c r="BB522" s="106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 s="106"/>
      <c r="BQ522" s="106"/>
      <c r="BR522" s="106"/>
      <c r="BS522" s="106"/>
      <c r="BT522" s="106"/>
      <c r="BU522" s="106"/>
    </row>
    <row r="523" spans="15:73">
      <c r="O523" s="106"/>
      <c r="P523" s="106"/>
      <c r="Q523" s="106"/>
      <c r="R523" s="106"/>
      <c r="S523" s="106"/>
      <c r="T523" s="106"/>
      <c r="U523" s="106"/>
      <c r="V523" s="106"/>
      <c r="W523" s="106"/>
      <c r="X523" s="106"/>
      <c r="Y523" s="106"/>
      <c r="Z523" s="106"/>
      <c r="AA523" s="106"/>
      <c r="AB523" s="106"/>
      <c r="AC523" s="106"/>
      <c r="AD523" s="106"/>
      <c r="AE523" s="106"/>
      <c r="AF523" s="106"/>
      <c r="AG523" s="106"/>
      <c r="AH523" s="106"/>
      <c r="AI523" s="106"/>
      <c r="AJ523" s="106"/>
      <c r="AK523" s="106"/>
      <c r="AL523" s="106"/>
      <c r="AM523" s="106"/>
      <c r="AN523" s="106"/>
      <c r="AO523" s="106"/>
      <c r="AP523" s="106"/>
      <c r="AQ523" s="106"/>
      <c r="AR523" s="106"/>
      <c r="AS523" s="106"/>
      <c r="AT523" s="106"/>
      <c r="AU523" s="106"/>
      <c r="AV523" s="106"/>
      <c r="AW523" s="106"/>
      <c r="AX523" s="106"/>
      <c r="AY523" s="106"/>
      <c r="AZ523" s="106"/>
      <c r="BA523" s="106"/>
      <c r="BB523" s="106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</row>
    <row r="524" spans="15:73">
      <c r="O524" s="106"/>
      <c r="P524" s="106"/>
      <c r="Q524" s="106"/>
      <c r="R524" s="106"/>
      <c r="S524" s="106"/>
      <c r="T524" s="106"/>
      <c r="U524" s="106"/>
      <c r="V524" s="106"/>
      <c r="W524" s="106"/>
      <c r="X524" s="106"/>
      <c r="Y524" s="106"/>
      <c r="Z524" s="106"/>
      <c r="AA524" s="106"/>
      <c r="AB524" s="106"/>
      <c r="AC524" s="106"/>
      <c r="AD524" s="106"/>
      <c r="AE524" s="106"/>
      <c r="AF524" s="106"/>
      <c r="AG524" s="106"/>
      <c r="AH524" s="106"/>
      <c r="AI524" s="106"/>
      <c r="AJ524" s="106"/>
      <c r="AK524" s="106"/>
      <c r="AL524" s="106"/>
      <c r="AM524" s="106"/>
      <c r="AN524" s="106"/>
      <c r="AO524" s="106"/>
      <c r="AP524" s="106"/>
      <c r="AQ524" s="106"/>
      <c r="AR524" s="106"/>
      <c r="AS524" s="106"/>
      <c r="AT524" s="106"/>
      <c r="AU524" s="106"/>
      <c r="AV524" s="106"/>
      <c r="AW524" s="106"/>
      <c r="AX524" s="106"/>
      <c r="AY524" s="106"/>
      <c r="AZ524" s="106"/>
      <c r="BA524" s="106"/>
      <c r="BB524" s="106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</row>
    <row r="525" spans="15:73">
      <c r="O525" s="106"/>
      <c r="P525" s="106"/>
      <c r="Q525" s="106"/>
      <c r="R525" s="106"/>
      <c r="S525" s="106"/>
      <c r="T525" s="106"/>
      <c r="U525" s="106"/>
      <c r="V525" s="106"/>
      <c r="W525" s="106"/>
      <c r="X525" s="106"/>
      <c r="Y525" s="106"/>
      <c r="Z525" s="106"/>
      <c r="AA525" s="106"/>
      <c r="AB525" s="106"/>
      <c r="AC525" s="106"/>
      <c r="AD525" s="106"/>
      <c r="AE525" s="106"/>
      <c r="AF525" s="106"/>
      <c r="AG525" s="106"/>
      <c r="AH525" s="106"/>
      <c r="AI525" s="106"/>
      <c r="AJ525" s="106"/>
      <c r="AK525" s="106"/>
      <c r="AL525" s="106"/>
      <c r="AM525" s="106"/>
      <c r="AN525" s="106"/>
      <c r="AO525" s="106"/>
      <c r="AP525" s="106"/>
      <c r="AQ525" s="106"/>
      <c r="AR525" s="106"/>
      <c r="AS525" s="106"/>
      <c r="AT525" s="106"/>
      <c r="AU525" s="106"/>
      <c r="AV525" s="106"/>
      <c r="AW525" s="106"/>
      <c r="AX525" s="106"/>
      <c r="AY525" s="106"/>
      <c r="AZ525" s="106"/>
      <c r="BA525" s="106"/>
      <c r="BB525" s="106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</row>
    <row r="526" spans="15:73">
      <c r="O526" s="106"/>
      <c r="P526" s="106"/>
      <c r="Q526" s="106"/>
      <c r="R526" s="106"/>
      <c r="S526" s="106"/>
      <c r="T526" s="106"/>
      <c r="U526" s="106"/>
      <c r="V526" s="106"/>
      <c r="W526" s="106"/>
      <c r="X526" s="106"/>
      <c r="Y526" s="106"/>
      <c r="Z526" s="106"/>
      <c r="AA526" s="106"/>
      <c r="AB526" s="106"/>
      <c r="AC526" s="106"/>
      <c r="AD526" s="106"/>
      <c r="AE526" s="106"/>
      <c r="AF526" s="106"/>
      <c r="AG526" s="106"/>
      <c r="AH526" s="106"/>
      <c r="AI526" s="106"/>
      <c r="AJ526" s="106"/>
      <c r="AK526" s="106"/>
      <c r="AL526" s="106"/>
      <c r="AM526" s="106"/>
      <c r="AN526" s="106"/>
      <c r="AO526" s="106"/>
      <c r="AP526" s="106"/>
      <c r="AQ526" s="106"/>
      <c r="AR526" s="106"/>
      <c r="AS526" s="106"/>
      <c r="AT526" s="106"/>
      <c r="AU526" s="106"/>
      <c r="AV526" s="106"/>
      <c r="AW526" s="106"/>
      <c r="AX526" s="106"/>
      <c r="AY526" s="106"/>
      <c r="AZ526" s="106"/>
      <c r="BA526" s="106"/>
      <c r="BB526" s="106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</row>
    <row r="527" spans="15:73"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  <c r="AA527" s="106"/>
      <c r="AB527" s="106"/>
      <c r="AC527" s="106"/>
      <c r="AD527" s="106"/>
      <c r="AE527" s="106"/>
      <c r="AF527" s="106"/>
      <c r="AG527" s="106"/>
      <c r="AH527" s="106"/>
      <c r="AI527" s="106"/>
      <c r="AJ527" s="106"/>
      <c r="AK527" s="106"/>
      <c r="AL527" s="106"/>
      <c r="AM527" s="106"/>
      <c r="AN527" s="106"/>
      <c r="AO527" s="106"/>
      <c r="AP527" s="106"/>
      <c r="AQ527" s="106"/>
      <c r="AR527" s="106"/>
      <c r="AS527" s="106"/>
      <c r="AT527" s="106"/>
      <c r="AU527" s="106"/>
      <c r="AV527" s="106"/>
      <c r="AW527" s="106"/>
      <c r="AX527" s="106"/>
      <c r="AY527" s="106"/>
      <c r="AZ527" s="106"/>
      <c r="BA527" s="106"/>
      <c r="BB527" s="106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</row>
    <row r="528" spans="15:73"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  <c r="Y528" s="106"/>
      <c r="Z528" s="106"/>
      <c r="AA528" s="106"/>
      <c r="AB528" s="106"/>
      <c r="AC528" s="106"/>
      <c r="AD528" s="106"/>
      <c r="AE528" s="106"/>
      <c r="AF528" s="106"/>
      <c r="AG528" s="106"/>
      <c r="AH528" s="106"/>
      <c r="AI528" s="106"/>
      <c r="AJ528" s="106"/>
      <c r="AK528" s="106"/>
      <c r="AL528" s="106"/>
      <c r="AM528" s="106"/>
      <c r="AN528" s="106"/>
      <c r="AO528" s="106"/>
      <c r="AP528" s="106"/>
      <c r="AQ528" s="106"/>
      <c r="AR528" s="106"/>
      <c r="AS528" s="106"/>
      <c r="AT528" s="106"/>
      <c r="AU528" s="106"/>
      <c r="AV528" s="106"/>
      <c r="AW528" s="106"/>
      <c r="AX528" s="106"/>
      <c r="AY528" s="106"/>
      <c r="AZ528" s="106"/>
      <c r="BA528" s="106"/>
      <c r="BB528" s="106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</row>
    <row r="529" spans="15:73"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  <c r="Y529" s="106"/>
      <c r="Z529" s="106"/>
      <c r="AA529" s="106"/>
      <c r="AB529" s="106"/>
      <c r="AC529" s="106"/>
      <c r="AD529" s="106"/>
      <c r="AE529" s="106"/>
      <c r="AF529" s="106"/>
      <c r="AG529" s="106"/>
      <c r="AH529" s="106"/>
      <c r="AI529" s="106"/>
      <c r="AJ529" s="106"/>
      <c r="AK529" s="106"/>
      <c r="AL529" s="106"/>
      <c r="AM529" s="106"/>
      <c r="AN529" s="106"/>
      <c r="AO529" s="106"/>
      <c r="AP529" s="106"/>
      <c r="AQ529" s="106"/>
      <c r="AR529" s="106"/>
      <c r="AS529" s="106"/>
      <c r="AT529" s="106"/>
      <c r="AU529" s="106"/>
      <c r="AV529" s="106"/>
      <c r="AW529" s="106"/>
      <c r="AX529" s="106"/>
      <c r="AY529" s="106"/>
      <c r="AZ529" s="106"/>
      <c r="BA529" s="106"/>
      <c r="BB529" s="106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6"/>
      <c r="BU529" s="106"/>
    </row>
    <row r="530" spans="15:73">
      <c r="O530" s="106"/>
      <c r="P530" s="106"/>
      <c r="Q530" s="106"/>
      <c r="R530" s="106"/>
      <c r="S530" s="106"/>
      <c r="T530" s="106"/>
      <c r="U530" s="106"/>
      <c r="V530" s="106"/>
      <c r="W530" s="106"/>
      <c r="X530" s="106"/>
      <c r="Y530" s="106"/>
      <c r="Z530" s="106"/>
      <c r="AA530" s="106"/>
      <c r="AB530" s="106"/>
      <c r="AC530" s="106"/>
      <c r="AD530" s="106"/>
      <c r="AE530" s="106"/>
      <c r="AF530" s="106"/>
      <c r="AG530" s="106"/>
      <c r="AH530" s="106"/>
      <c r="AI530" s="106"/>
      <c r="AJ530" s="106"/>
      <c r="AK530" s="106"/>
      <c r="AL530" s="106"/>
      <c r="AM530" s="106"/>
      <c r="AN530" s="106"/>
      <c r="AO530" s="106"/>
      <c r="AP530" s="106"/>
      <c r="AQ530" s="106"/>
      <c r="AR530" s="106"/>
      <c r="AS530" s="106"/>
      <c r="AT530" s="106"/>
      <c r="AU530" s="106"/>
      <c r="AV530" s="106"/>
      <c r="AW530" s="106"/>
      <c r="AX530" s="106"/>
      <c r="AY530" s="106"/>
      <c r="AZ530" s="106"/>
      <c r="BA530" s="106"/>
      <c r="BB530" s="106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 s="106"/>
      <c r="BQ530" s="106"/>
      <c r="BR530" s="106"/>
      <c r="BS530" s="106"/>
      <c r="BT530" s="106"/>
      <c r="BU530" s="106"/>
    </row>
    <row r="531" spans="15:73"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  <c r="AA531" s="106"/>
      <c r="AB531" s="106"/>
      <c r="AC531" s="106"/>
      <c r="AD531" s="106"/>
      <c r="AE531" s="106"/>
      <c r="AF531" s="106"/>
      <c r="AG531" s="106"/>
      <c r="AH531" s="106"/>
      <c r="AI531" s="106"/>
      <c r="AJ531" s="106"/>
      <c r="AK531" s="106"/>
      <c r="AL531" s="106"/>
      <c r="AM531" s="106"/>
      <c r="AN531" s="106"/>
      <c r="AO531" s="106"/>
      <c r="AP531" s="106"/>
      <c r="AQ531" s="106"/>
      <c r="AR531" s="106"/>
      <c r="AS531" s="106"/>
      <c r="AT531" s="106"/>
      <c r="AU531" s="106"/>
      <c r="AV531" s="106"/>
      <c r="AW531" s="106"/>
      <c r="AX531" s="106"/>
      <c r="AY531" s="106"/>
      <c r="AZ531" s="106"/>
      <c r="BA531" s="106"/>
      <c r="BB531" s="106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 s="106"/>
      <c r="BQ531" s="106"/>
      <c r="BR531" s="106"/>
      <c r="BS531" s="106"/>
      <c r="BT531" s="106"/>
      <c r="BU531" s="106"/>
    </row>
    <row r="532" spans="15:73">
      <c r="O532" s="106"/>
      <c r="P532" s="106"/>
      <c r="Q532" s="106"/>
      <c r="R532" s="10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106"/>
      <c r="AZ532" s="106"/>
      <c r="BA532" s="106"/>
      <c r="BB532" s="106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 s="106"/>
      <c r="BQ532" s="106"/>
      <c r="BR532" s="106"/>
      <c r="BS532" s="106"/>
      <c r="BT532" s="106"/>
      <c r="BU532" s="106"/>
    </row>
    <row r="533" spans="15:73">
      <c r="O533" s="106"/>
      <c r="P533" s="106"/>
      <c r="Q533" s="106"/>
      <c r="R533" s="10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  <c r="AC533" s="106"/>
      <c r="AD533" s="106"/>
      <c r="AE533" s="106"/>
      <c r="AF533" s="106"/>
      <c r="AG533" s="106"/>
      <c r="AH533" s="106"/>
      <c r="AI533" s="106"/>
      <c r="AJ533" s="106"/>
      <c r="AK533" s="106"/>
      <c r="AL533" s="106"/>
      <c r="AM533" s="106"/>
      <c r="AN533" s="106"/>
      <c r="AO533" s="106"/>
      <c r="AP533" s="106"/>
      <c r="AQ533" s="106"/>
      <c r="AR533" s="106"/>
      <c r="AS533" s="106"/>
      <c r="AT533" s="106"/>
      <c r="AU533" s="106"/>
      <c r="AV533" s="106"/>
      <c r="AW533" s="106"/>
      <c r="AX533" s="106"/>
      <c r="AY533" s="106"/>
      <c r="AZ533" s="106"/>
      <c r="BA533" s="106"/>
      <c r="BB533" s="106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 s="106"/>
      <c r="BQ533" s="106"/>
      <c r="BR533" s="106"/>
      <c r="BS533" s="106"/>
      <c r="BT533" s="106"/>
      <c r="BU533" s="106"/>
    </row>
    <row r="534" spans="15:73">
      <c r="O534" s="106"/>
      <c r="P534" s="106"/>
      <c r="Q534" s="106"/>
      <c r="R534" s="10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  <c r="AC534" s="106"/>
      <c r="AD534" s="106"/>
      <c r="AE534" s="106"/>
      <c r="AF534" s="106"/>
      <c r="AG534" s="106"/>
      <c r="AH534" s="106"/>
      <c r="AI534" s="106"/>
      <c r="AJ534" s="106"/>
      <c r="AK534" s="106"/>
      <c r="AL534" s="106"/>
      <c r="AM534" s="106"/>
      <c r="AN534" s="106"/>
      <c r="AO534" s="106"/>
      <c r="AP534" s="106"/>
      <c r="AQ534" s="106"/>
      <c r="AR534" s="106"/>
      <c r="AS534" s="106"/>
      <c r="AT534" s="106"/>
      <c r="AU534" s="106"/>
      <c r="AV534" s="106"/>
      <c r="AW534" s="106"/>
      <c r="AX534" s="106"/>
      <c r="AY534" s="106"/>
      <c r="AZ534" s="106"/>
      <c r="BA534" s="106"/>
      <c r="BB534" s="106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 s="106"/>
      <c r="BQ534" s="106"/>
      <c r="BR534" s="106"/>
      <c r="BS534" s="106"/>
      <c r="BT534" s="106"/>
      <c r="BU534" s="106"/>
    </row>
    <row r="535" spans="15:73">
      <c r="O535" s="106"/>
      <c r="P535" s="106"/>
      <c r="Q535" s="106"/>
      <c r="R535" s="10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  <c r="AC535" s="106"/>
      <c r="AD535" s="106"/>
      <c r="AE535" s="106"/>
      <c r="AF535" s="106"/>
      <c r="AG535" s="106"/>
      <c r="AH535" s="106"/>
      <c r="AI535" s="106"/>
      <c r="AJ535" s="106"/>
      <c r="AK535" s="106"/>
      <c r="AL535" s="106"/>
      <c r="AM535" s="106"/>
      <c r="AN535" s="106"/>
      <c r="AO535" s="106"/>
      <c r="AP535" s="106"/>
      <c r="AQ535" s="106"/>
      <c r="AR535" s="106"/>
      <c r="AS535" s="106"/>
      <c r="AT535" s="106"/>
      <c r="AU535" s="106"/>
      <c r="AV535" s="106"/>
      <c r="AW535" s="106"/>
      <c r="AX535" s="106"/>
      <c r="AY535" s="106"/>
      <c r="AZ535" s="106"/>
      <c r="BA535" s="106"/>
      <c r="BB535" s="106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 s="106"/>
      <c r="BQ535" s="106"/>
      <c r="BR535" s="106"/>
      <c r="BS535" s="106"/>
      <c r="BT535" s="106"/>
      <c r="BU535" s="106"/>
    </row>
    <row r="536" spans="15:73"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  <c r="AC536" s="106"/>
      <c r="AD536" s="106"/>
      <c r="AE536" s="106"/>
      <c r="AF536" s="106"/>
      <c r="AG536" s="106"/>
      <c r="AH536" s="106"/>
      <c r="AI536" s="106"/>
      <c r="AJ536" s="106"/>
      <c r="AK536" s="106"/>
      <c r="AL536" s="106"/>
      <c r="AM536" s="106"/>
      <c r="AN536" s="106"/>
      <c r="AO536" s="106"/>
      <c r="AP536" s="106"/>
      <c r="AQ536" s="106"/>
      <c r="AR536" s="106"/>
      <c r="AS536" s="106"/>
      <c r="AT536" s="106"/>
      <c r="AU536" s="106"/>
      <c r="AV536" s="106"/>
      <c r="AW536" s="106"/>
      <c r="AX536" s="106"/>
      <c r="AY536" s="106"/>
      <c r="AZ536" s="106"/>
      <c r="BA536" s="106"/>
      <c r="BB536" s="106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 s="106"/>
      <c r="BQ536" s="106"/>
      <c r="BR536" s="106"/>
      <c r="BS536" s="106"/>
      <c r="BT536" s="106"/>
      <c r="BU536" s="106"/>
    </row>
    <row r="537" spans="15:73">
      <c r="O537" s="106"/>
      <c r="P537" s="106"/>
      <c r="Q537" s="106"/>
      <c r="R537" s="10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  <c r="AC537" s="106"/>
      <c r="AD537" s="106"/>
      <c r="AE537" s="106"/>
      <c r="AF537" s="106"/>
      <c r="AG537" s="106"/>
      <c r="AH537" s="106"/>
      <c r="AI537" s="106"/>
      <c r="AJ537" s="106"/>
      <c r="AK537" s="106"/>
      <c r="AL537" s="106"/>
      <c r="AM537" s="106"/>
      <c r="AN537" s="106"/>
      <c r="AO537" s="106"/>
      <c r="AP537" s="106"/>
      <c r="AQ537" s="106"/>
      <c r="AR537" s="106"/>
      <c r="AS537" s="106"/>
      <c r="AT537" s="106"/>
      <c r="AU537" s="106"/>
      <c r="AV537" s="106"/>
      <c r="AW537" s="106"/>
      <c r="AX537" s="106"/>
      <c r="AY537" s="106"/>
      <c r="AZ537" s="106"/>
      <c r="BA537" s="106"/>
      <c r="BB537" s="106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 s="106"/>
      <c r="BQ537" s="106"/>
      <c r="BR537" s="106"/>
      <c r="BS537" s="106"/>
      <c r="BT537" s="106"/>
      <c r="BU537" s="106"/>
    </row>
    <row r="538" spans="15:73">
      <c r="O538" s="106"/>
      <c r="P538" s="106"/>
      <c r="Q538" s="106"/>
      <c r="R538" s="10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  <c r="AC538" s="106"/>
      <c r="AD538" s="106"/>
      <c r="AE538" s="106"/>
      <c r="AF538" s="106"/>
      <c r="AG538" s="106"/>
      <c r="AH538" s="106"/>
      <c r="AI538" s="106"/>
      <c r="AJ538" s="106"/>
      <c r="AK538" s="106"/>
      <c r="AL538" s="106"/>
      <c r="AM538" s="106"/>
      <c r="AN538" s="106"/>
      <c r="AO538" s="106"/>
      <c r="AP538" s="106"/>
      <c r="AQ538" s="106"/>
      <c r="AR538" s="106"/>
      <c r="AS538" s="106"/>
      <c r="AT538" s="106"/>
      <c r="AU538" s="106"/>
      <c r="AV538" s="106"/>
      <c r="AW538" s="106"/>
      <c r="AX538" s="106"/>
      <c r="AY538" s="106"/>
      <c r="AZ538" s="106"/>
      <c r="BA538" s="106"/>
      <c r="BB538" s="106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</row>
    <row r="539" spans="15:73">
      <c r="O539" s="106"/>
      <c r="P539" s="106"/>
      <c r="Q539" s="106"/>
      <c r="R539" s="10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  <c r="AC539" s="106"/>
      <c r="AD539" s="106"/>
      <c r="AE539" s="106"/>
      <c r="AF539" s="106"/>
      <c r="AG539" s="106"/>
      <c r="AH539" s="106"/>
      <c r="AI539" s="106"/>
      <c r="AJ539" s="106"/>
      <c r="AK539" s="106"/>
      <c r="AL539" s="106"/>
      <c r="AM539" s="106"/>
      <c r="AN539" s="106"/>
      <c r="AO539" s="106"/>
      <c r="AP539" s="106"/>
      <c r="AQ539" s="106"/>
      <c r="AR539" s="106"/>
      <c r="AS539" s="106"/>
      <c r="AT539" s="106"/>
      <c r="AU539" s="106"/>
      <c r="AV539" s="106"/>
      <c r="AW539" s="106"/>
      <c r="AX539" s="106"/>
      <c r="AY539" s="106"/>
      <c r="AZ539" s="106"/>
      <c r="BA539" s="106"/>
      <c r="BB539" s="106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 s="106"/>
      <c r="BQ539" s="106"/>
      <c r="BR539" s="106"/>
      <c r="BS539" s="106"/>
      <c r="BT539" s="106"/>
      <c r="BU539" s="106"/>
    </row>
  </sheetData>
  <dataConsolidate link="1"/>
  <phoneticPr fontId="28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6"/>
  <sheetViews>
    <sheetView showGridLines="0" zoomScale="85" zoomScaleNormal="85" workbookViewId="0"/>
  </sheetViews>
  <sheetFormatPr defaultColWidth="9.109375" defaultRowHeight="13.2"/>
  <cols>
    <col min="1" max="1" width="16" customWidth="1"/>
    <col min="2" max="2" width="12.33203125" bestFit="1" customWidth="1"/>
    <col min="3" max="3" width="13" bestFit="1" customWidth="1"/>
    <col min="4" max="4" width="8.6640625" bestFit="1" customWidth="1"/>
    <col min="5" max="5" width="11.5546875" bestFit="1" customWidth="1"/>
    <col min="6" max="6" width="1.6640625" customWidth="1"/>
    <col min="7" max="9" width="11.5546875" bestFit="1" customWidth="1"/>
    <col min="10" max="10" width="10.6640625" customWidth="1"/>
    <col min="11" max="11" width="13.5546875" customWidth="1"/>
    <col min="12" max="12" width="11.6640625" bestFit="1" customWidth="1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6"/>
      <c r="B2" s="161" t="s">
        <v>57</v>
      </c>
      <c r="C2" s="161"/>
      <c r="D2" s="161"/>
      <c r="E2" s="161"/>
      <c r="F2" s="16"/>
      <c r="G2" s="161" t="s">
        <v>58</v>
      </c>
      <c r="H2" s="161"/>
      <c r="I2" s="161"/>
      <c r="J2" s="16"/>
    </row>
    <row r="3" spans="1:12" ht="13.8">
      <c r="A3" s="16" t="s">
        <v>17</v>
      </c>
      <c r="B3" s="18" t="s">
        <v>20</v>
      </c>
      <c r="C3" s="21"/>
      <c r="D3" s="21"/>
      <c r="E3" s="21"/>
      <c r="F3" s="21"/>
      <c r="G3" s="21"/>
      <c r="H3" s="21"/>
      <c r="I3" s="21"/>
      <c r="J3" s="18" t="s">
        <v>59</v>
      </c>
    </row>
    <row r="4" spans="1:12" ht="13.8">
      <c r="A4" s="22" t="s">
        <v>60</v>
      </c>
      <c r="B4" s="24" t="s">
        <v>61</v>
      </c>
      <c r="C4" s="24" t="s">
        <v>26</v>
      </c>
      <c r="D4" s="24" t="s">
        <v>27</v>
      </c>
      <c r="E4" s="26" t="s">
        <v>62</v>
      </c>
      <c r="F4" s="25"/>
      <c r="G4" s="24" t="s">
        <v>63</v>
      </c>
      <c r="H4" s="24" t="s">
        <v>64</v>
      </c>
      <c r="I4" s="24" t="s">
        <v>62</v>
      </c>
      <c r="J4" s="24" t="s">
        <v>65</v>
      </c>
    </row>
    <row r="5" spans="1:12" ht="14.4">
      <c r="A5" s="16"/>
      <c r="B5" s="162" t="s">
        <v>66</v>
      </c>
      <c r="C5" s="162"/>
      <c r="D5" s="162"/>
      <c r="E5" s="162"/>
      <c r="F5" s="162"/>
      <c r="G5" s="162"/>
      <c r="H5" s="162"/>
      <c r="I5" s="162"/>
      <c r="J5" s="162"/>
    </row>
    <row r="6" spans="1:12" ht="13.8">
      <c r="A6" s="16" t="s">
        <v>37</v>
      </c>
      <c r="B6" s="44">
        <v>340.786</v>
      </c>
      <c r="C6" s="45">
        <f>C23</f>
        <v>51814.455000000002</v>
      </c>
      <c r="D6" s="45">
        <f>D23</f>
        <v>649.11497484899996</v>
      </c>
      <c r="E6" s="33">
        <f>E23</f>
        <v>52804.355974849001</v>
      </c>
      <c r="F6" s="45"/>
      <c r="G6" s="45">
        <f>G23</f>
        <v>38969.617926673003</v>
      </c>
      <c r="H6" s="45">
        <f>H23</f>
        <v>13523.811048175998</v>
      </c>
      <c r="I6" s="45">
        <f>I23</f>
        <v>52493.428974849005</v>
      </c>
      <c r="J6" s="45">
        <f>J22</f>
        <v>310.92700000000002</v>
      </c>
    </row>
    <row r="7" spans="1:12" ht="16.2">
      <c r="A7" s="16" t="s">
        <v>188</v>
      </c>
      <c r="B7" s="44">
        <f>J6</f>
        <v>310.92700000000002</v>
      </c>
      <c r="C7" s="45">
        <v>52464.072999999997</v>
      </c>
      <c r="D7" s="45">
        <v>675</v>
      </c>
      <c r="E7" s="33">
        <f>SUM(B7:D7)</f>
        <v>53450</v>
      </c>
      <c r="F7" s="45"/>
      <c r="G7" s="45">
        <v>39300</v>
      </c>
      <c r="H7" s="45">
        <v>13800</v>
      </c>
      <c r="I7" s="45">
        <f>E7-J7</f>
        <v>53100</v>
      </c>
      <c r="J7" s="45">
        <v>350</v>
      </c>
    </row>
    <row r="8" spans="1:12" ht="16.2">
      <c r="A8" s="16" t="s">
        <v>187</v>
      </c>
      <c r="B8" s="44">
        <f>J7</f>
        <v>350</v>
      </c>
      <c r="C8" s="45">
        <v>54375</v>
      </c>
      <c r="D8" s="45">
        <v>650</v>
      </c>
      <c r="E8" s="33">
        <f>SUM(B8:D8)</f>
        <v>55375</v>
      </c>
      <c r="F8" s="45"/>
      <c r="G8" s="45">
        <v>40175</v>
      </c>
      <c r="H8" s="45">
        <v>14800</v>
      </c>
      <c r="I8" s="45">
        <f>E8-J8</f>
        <v>54975</v>
      </c>
      <c r="J8" s="45">
        <v>400</v>
      </c>
    </row>
    <row r="9" spans="1:12" ht="13.8">
      <c r="A9" s="16"/>
      <c r="B9" s="46"/>
      <c r="C9" s="46"/>
      <c r="D9" s="46"/>
      <c r="E9" s="46"/>
      <c r="F9" s="46"/>
      <c r="G9" s="45"/>
      <c r="H9" s="46"/>
      <c r="I9" s="46"/>
      <c r="J9" s="46"/>
    </row>
    <row r="10" spans="1:12" ht="13.8">
      <c r="A10" s="36" t="s">
        <v>37</v>
      </c>
      <c r="B10" s="47"/>
      <c r="C10" s="6"/>
      <c r="D10" s="6"/>
      <c r="E10" s="6"/>
      <c r="F10" s="6"/>
      <c r="G10" s="6"/>
      <c r="H10" s="6"/>
      <c r="I10" s="6"/>
      <c r="J10" s="6"/>
    </row>
    <row r="11" spans="1:12" ht="14.4">
      <c r="A11" s="16" t="s">
        <v>39</v>
      </c>
      <c r="B11" s="47">
        <f>B6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07"/>
      <c r="L11" s="111"/>
    </row>
    <row r="12" spans="1:12" ht="14.4">
      <c r="A12" s="16" t="s">
        <v>40</v>
      </c>
      <c r="B12" s="47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07"/>
      <c r="L12" s="111"/>
    </row>
    <row r="13" spans="1:12" ht="14.4">
      <c r="A13" s="16" t="s">
        <v>42</v>
      </c>
      <c r="B13" s="47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07"/>
      <c r="L13" s="111"/>
    </row>
    <row r="14" spans="1:12" ht="14.4">
      <c r="A14" s="16" t="s">
        <v>43</v>
      </c>
      <c r="B14" s="47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07"/>
      <c r="L14" s="111"/>
    </row>
    <row r="15" spans="1:12" ht="14.4">
      <c r="A15" s="16" t="s">
        <v>44</v>
      </c>
      <c r="B15" s="47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385.87600000000003</v>
      </c>
      <c r="K15" s="107"/>
      <c r="L15" s="111"/>
    </row>
    <row r="16" spans="1:12" ht="14.4">
      <c r="A16" s="16" t="s">
        <v>46</v>
      </c>
      <c r="B16" s="47">
        <f t="shared" si="3"/>
        <v>385.87600000000003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380.96799999999996</v>
      </c>
      <c r="K16" s="107"/>
      <c r="L16" s="111"/>
    </row>
    <row r="17" spans="1:12" ht="14.4">
      <c r="A17" s="16" t="s">
        <v>47</v>
      </c>
      <c r="B17" s="47">
        <f t="shared" si="3"/>
        <v>380.96799999999996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07"/>
      <c r="L17" s="111"/>
    </row>
    <row r="18" spans="1:12" ht="14.4">
      <c r="A18" s="16" t="s">
        <v>48</v>
      </c>
      <c r="B18" s="47">
        <f t="shared" si="3"/>
        <v>445.01600000000002</v>
      </c>
      <c r="C18" s="6">
        <v>4260.0889999999999</v>
      </c>
      <c r="D18" s="112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12">
        <f>(1036354.3*1.10231)/1000</f>
        <v>1142.3837084329998</v>
      </c>
      <c r="I18" s="5">
        <f t="shared" si="2"/>
        <v>4314.3215992279993</v>
      </c>
      <c r="J18" s="6">
        <v>463.755</v>
      </c>
      <c r="K18" s="107"/>
      <c r="L18" s="111"/>
    </row>
    <row r="19" spans="1:12" ht="14.4">
      <c r="A19" s="16" t="s">
        <v>50</v>
      </c>
      <c r="B19" s="47">
        <f t="shared" si="3"/>
        <v>463.755</v>
      </c>
      <c r="C19" s="6">
        <v>4106.5650000000005</v>
      </c>
      <c r="D19" s="112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12">
        <f>(1039142.8*1.10231)/1000</f>
        <v>1145.457499868</v>
      </c>
      <c r="I19" s="5">
        <f t="shared" si="2"/>
        <v>4274.8033415060008</v>
      </c>
      <c r="J19" s="6">
        <v>357.30399999999997</v>
      </c>
      <c r="K19" s="107"/>
    </row>
    <row r="20" spans="1:12" ht="14.4">
      <c r="A20" s="16" t="s">
        <v>51</v>
      </c>
      <c r="B20" s="47">
        <f>J19</f>
        <v>357.30399999999997</v>
      </c>
      <c r="C20" s="6">
        <v>4270.28</v>
      </c>
      <c r="D20" s="112">
        <f>(67390*1.10231)/1000</f>
        <v>74.284670899999995</v>
      </c>
      <c r="E20" s="6">
        <f t="shared" si="0"/>
        <v>4701.8686708999994</v>
      </c>
      <c r="F20" s="6"/>
      <c r="G20" s="6">
        <f t="shared" si="1"/>
        <v>3260.6808691549995</v>
      </c>
      <c r="H20" s="112">
        <f>(829589.5*1.10231)/1000</f>
        <v>914.46480174499993</v>
      </c>
      <c r="I20" s="5">
        <f t="shared" si="2"/>
        <v>4175.1456708999995</v>
      </c>
      <c r="J20" s="6">
        <v>526.72299999999996</v>
      </c>
      <c r="K20" s="107"/>
    </row>
    <row r="21" spans="1:12" ht="14.4">
      <c r="A21" s="16" t="s">
        <v>52</v>
      </c>
      <c r="B21" s="47">
        <f>J20</f>
        <v>526.72299999999996</v>
      </c>
      <c r="C21" s="6">
        <v>4147.2370000000001</v>
      </c>
      <c r="D21" s="112">
        <f>(45618.3*1.10231)/1000</f>
        <v>50.285508272999998</v>
      </c>
      <c r="E21" s="6">
        <f t="shared" si="0"/>
        <v>4724.2455082730003</v>
      </c>
      <c r="F21" s="6"/>
      <c r="G21" s="6">
        <f t="shared" si="1"/>
        <v>3463.4597325930004</v>
      </c>
      <c r="H21" s="112">
        <f>(828128*1.10231)/1000</f>
        <v>912.85377568000001</v>
      </c>
      <c r="I21" s="5">
        <f t="shared" si="2"/>
        <v>4376.3135082730005</v>
      </c>
      <c r="J21" s="6">
        <v>347.93200000000002</v>
      </c>
      <c r="K21" s="107"/>
    </row>
    <row r="22" spans="1:12" ht="14.4">
      <c r="A22" s="16" t="s">
        <v>38</v>
      </c>
      <c r="B22" s="47">
        <f>J21</f>
        <v>347.93200000000002</v>
      </c>
      <c r="C22" s="6">
        <v>3925.0389999999998</v>
      </c>
      <c r="D22" s="112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12">
        <f>(817307.4*1.10231)/1000</f>
        <v>900.92612009399988</v>
      </c>
      <c r="I22" s="5">
        <f t="shared" si="2"/>
        <v>4018.408637691999</v>
      </c>
      <c r="J22" s="6">
        <v>310.92700000000002</v>
      </c>
      <c r="K22" s="115"/>
    </row>
    <row r="23" spans="1:12" ht="14.4">
      <c r="A23" s="16" t="s">
        <v>28</v>
      </c>
      <c r="B23" s="47"/>
      <c r="C23" s="6">
        <f>SUM(C11:C22)</f>
        <v>51814.455000000002</v>
      </c>
      <c r="D23" s="6">
        <f>(588867.9*1.10231)/1000</f>
        <v>649.11497484899996</v>
      </c>
      <c r="E23" s="6">
        <f>B11+C23+D23</f>
        <v>52804.355974849001</v>
      </c>
      <c r="F23" s="6"/>
      <c r="G23" s="6">
        <f>SUM(G11:G22)</f>
        <v>38969.617926673003</v>
      </c>
      <c r="H23" s="6">
        <f>(12268609.6*1.10231)/1000</f>
        <v>13523.811048175998</v>
      </c>
      <c r="I23" s="6">
        <f>SUM(I11:I22)</f>
        <v>52493.428974849005</v>
      </c>
      <c r="J23" s="6"/>
      <c r="K23" s="107"/>
    </row>
    <row r="24" spans="1:12" ht="14.4">
      <c r="A24" s="16"/>
      <c r="B24" s="47"/>
      <c r="C24" s="6"/>
      <c r="D24" s="6"/>
      <c r="E24" s="6"/>
      <c r="F24" s="6"/>
      <c r="G24" s="6"/>
      <c r="H24" s="6"/>
      <c r="I24" s="6"/>
      <c r="J24" s="6"/>
      <c r="K24" s="107"/>
    </row>
    <row r="25" spans="1:12" ht="14.4">
      <c r="A25" s="36" t="s">
        <v>54</v>
      </c>
      <c r="B25" s="47"/>
      <c r="C25" s="6"/>
      <c r="D25" s="6"/>
      <c r="E25" s="6"/>
      <c r="F25" s="6"/>
      <c r="G25" s="6"/>
      <c r="H25" s="6"/>
      <c r="I25" s="6"/>
      <c r="J25" s="6"/>
      <c r="K25" s="107"/>
    </row>
    <row r="26" spans="1:12" ht="14.4">
      <c r="A26" s="16" t="s">
        <v>39</v>
      </c>
      <c r="B26" s="47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31" si="4">SUM(B26:D26)</f>
        <v>4978.4093192419996</v>
      </c>
      <c r="F26" s="6"/>
      <c r="G26" s="6">
        <f t="shared" ref="G26:G31" si="5">I26-H26</f>
        <v>3640.5241230109996</v>
      </c>
      <c r="H26" s="6">
        <f>(870600.1*1.10231)/1000</f>
        <v>959.67119623099984</v>
      </c>
      <c r="I26" s="5">
        <f t="shared" ref="I26:I31" si="6">E26-J26</f>
        <v>4600.1953192419996</v>
      </c>
      <c r="J26" s="6">
        <v>378.214</v>
      </c>
      <c r="K26" s="107"/>
    </row>
    <row r="27" spans="1:12" ht="14.4">
      <c r="A27" s="16" t="s">
        <v>40</v>
      </c>
      <c r="B27" s="47">
        <f>J26</f>
        <v>378.214</v>
      </c>
      <c r="C27" s="6">
        <v>4469.9660000000003</v>
      </c>
      <c r="D27" s="6">
        <f>(53339.9*1.10231)/1000</f>
        <v>58.797105168999998</v>
      </c>
      <c r="E27" s="6">
        <f t="shared" si="4"/>
        <v>4906.9771051690004</v>
      </c>
      <c r="F27" s="6"/>
      <c r="G27" s="6">
        <f t="shared" si="5"/>
        <v>3305.9972672080012</v>
      </c>
      <c r="H27" s="6">
        <f>(1135683.1*1.10231)/1000</f>
        <v>1251.8748379609999</v>
      </c>
      <c r="I27" s="5">
        <f t="shared" si="6"/>
        <v>4557.8721051690009</v>
      </c>
      <c r="J27" s="6">
        <v>349.10500000000002</v>
      </c>
      <c r="K27" s="107"/>
    </row>
    <row r="28" spans="1:12" ht="14.4">
      <c r="A28" s="16" t="s">
        <v>42</v>
      </c>
      <c r="B28" s="47">
        <f>J27</f>
        <v>349.10500000000002</v>
      </c>
      <c r="C28" s="6">
        <v>4437.4089999999997</v>
      </c>
      <c r="D28" s="6">
        <f>(32195.5*1.10231)/1000</f>
        <v>35.489421604999997</v>
      </c>
      <c r="E28" s="6">
        <f t="shared" si="4"/>
        <v>4822.0034216049989</v>
      </c>
      <c r="F28" s="6"/>
      <c r="G28" s="6">
        <f t="shared" si="5"/>
        <v>3048.1806654779984</v>
      </c>
      <c r="H28" s="6">
        <f>(1195621.7*1.10231)/1000</f>
        <v>1317.9457561269999</v>
      </c>
      <c r="I28" s="5">
        <f t="shared" si="6"/>
        <v>4366.1264216049985</v>
      </c>
      <c r="J28" s="6">
        <v>455.87700000000001</v>
      </c>
      <c r="K28" s="107"/>
    </row>
    <row r="29" spans="1:12" ht="14.4">
      <c r="A29" s="16" t="s">
        <v>43</v>
      </c>
      <c r="B29" s="47">
        <f>J28</f>
        <v>455.87700000000001</v>
      </c>
      <c r="C29" s="6">
        <v>4540.9090000000006</v>
      </c>
      <c r="D29" s="6">
        <f>(87357.8*1.10231)/1000</f>
        <v>96.295376517999983</v>
      </c>
      <c r="E29" s="6">
        <f t="shared" si="4"/>
        <v>5093.081376518001</v>
      </c>
      <c r="F29" s="6"/>
      <c r="G29" s="6">
        <f t="shared" si="5"/>
        <v>3101.8863894670012</v>
      </c>
      <c r="H29" s="6">
        <f>(1404622.1*1.10231)/1000</f>
        <v>1548.3289870509998</v>
      </c>
      <c r="I29" s="5">
        <f t="shared" si="6"/>
        <v>4650.215376518001</v>
      </c>
      <c r="J29" s="6">
        <v>442.86599999999999</v>
      </c>
      <c r="K29" s="107"/>
    </row>
    <row r="30" spans="1:12" ht="13.8">
      <c r="A30" s="16" t="s">
        <v>44</v>
      </c>
      <c r="B30" s="47">
        <f>J29</f>
        <v>442.86599999999999</v>
      </c>
      <c r="C30" s="6">
        <v>4197.5839999999998</v>
      </c>
      <c r="D30" s="6">
        <f>(40187.2*1.10231)/1000</f>
        <v>44.298752431999993</v>
      </c>
      <c r="E30" s="6">
        <f t="shared" si="4"/>
        <v>4684.7487524319995</v>
      </c>
      <c r="F30" s="6"/>
      <c r="G30" s="6">
        <f t="shared" si="5"/>
        <v>3189.261751647</v>
      </c>
      <c r="H30" s="6">
        <f>(925173.5*1.10231)/1000</f>
        <v>1019.828000785</v>
      </c>
      <c r="I30" s="5">
        <f t="shared" si="6"/>
        <v>4209.0897524319998</v>
      </c>
      <c r="J30" s="6">
        <v>475.65899999999999</v>
      </c>
      <c r="K30" s="152"/>
    </row>
    <row r="31" spans="1:12" ht="14.4">
      <c r="A31" s="15" t="s">
        <v>46</v>
      </c>
      <c r="B31" s="48">
        <f>J30</f>
        <v>475.65899999999999</v>
      </c>
      <c r="C31" s="41">
        <v>4698.1610000000001</v>
      </c>
      <c r="D31" s="41">
        <f>(43410.1*1.10231)/1000</f>
        <v>47.851387330999991</v>
      </c>
      <c r="E31" s="41">
        <f t="shared" si="4"/>
        <v>5221.671387331</v>
      </c>
      <c r="F31" s="41"/>
      <c r="G31" s="41">
        <f t="shared" si="5"/>
        <v>3369.7769356149997</v>
      </c>
      <c r="H31" s="41">
        <f>(1336143.6*1.10231)/1000</f>
        <v>1472.8444517160001</v>
      </c>
      <c r="I31" s="53">
        <f t="shared" si="6"/>
        <v>4842.6213873309998</v>
      </c>
      <c r="J31" s="41">
        <v>379.04999999999995</v>
      </c>
      <c r="K31" s="153"/>
    </row>
    <row r="32" spans="1:12" ht="16.2">
      <c r="A32" s="49" t="s">
        <v>67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0" ht="14.4">
      <c r="A33" s="16" t="s">
        <v>68</v>
      </c>
      <c r="B33" s="16"/>
      <c r="C33" s="16"/>
      <c r="D33" s="16"/>
      <c r="E33" s="16"/>
      <c r="F33" s="16"/>
      <c r="G33" s="16"/>
      <c r="H33" s="16"/>
      <c r="I33" s="16"/>
      <c r="J33" s="16"/>
    </row>
    <row r="34" spans="1:10" ht="13.8">
      <c r="A34" s="21" t="s">
        <v>56</v>
      </c>
      <c r="B34" s="43">
        <f>Contents!A16</f>
        <v>45062</v>
      </c>
      <c r="C34" s="39"/>
      <c r="D34" s="34"/>
      <c r="E34" s="34"/>
      <c r="F34" s="34"/>
      <c r="G34" s="34"/>
      <c r="H34" s="34"/>
      <c r="I34" s="34"/>
      <c r="J34" s="34"/>
    </row>
    <row r="35" spans="1:10">
      <c r="B35" s="50"/>
      <c r="C35" s="51"/>
      <c r="D35" s="50"/>
      <c r="E35" s="104"/>
      <c r="F35" s="50"/>
      <c r="G35" s="50"/>
      <c r="H35" s="52"/>
      <c r="I35" s="104"/>
      <c r="J35" s="50"/>
    </row>
    <row r="36" spans="1:10">
      <c r="B36" s="50"/>
      <c r="C36" s="50"/>
      <c r="D36" s="50"/>
      <c r="E36" s="50"/>
      <c r="F36" s="50"/>
      <c r="G36" s="50"/>
      <c r="H36" s="50"/>
      <c r="I36" s="50"/>
      <c r="J36" s="50"/>
    </row>
  </sheetData>
  <mergeCells count="3">
    <mergeCell ref="G2:I2"/>
    <mergeCell ref="B5:J5"/>
    <mergeCell ref="B2:E2"/>
  </mergeCells>
  <phoneticPr fontId="28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5"/>
  <sheetViews>
    <sheetView showGridLines="0" zoomScale="85" zoomScaleNormal="85" workbookViewId="0"/>
  </sheetViews>
  <sheetFormatPr defaultColWidth="9.109375" defaultRowHeight="13.2"/>
  <cols>
    <col min="1" max="1" width="15.44140625" customWidth="1"/>
    <col min="2" max="2" width="12.33203125" bestFit="1" customWidth="1"/>
    <col min="3" max="3" width="12.109375" bestFit="1" customWidth="1"/>
    <col min="4" max="4" width="11" bestFit="1" customWidth="1"/>
    <col min="5" max="5" width="11.33203125" bestFit="1" customWidth="1"/>
    <col min="6" max="6" width="3.6640625" customWidth="1"/>
    <col min="7" max="7" width="11.5546875" bestFit="1" customWidth="1"/>
    <col min="8" max="8" width="10.6640625" customWidth="1"/>
    <col min="9" max="9" width="12.6640625" customWidth="1"/>
    <col min="10" max="10" width="9.6640625" bestFit="1" customWidth="1"/>
    <col min="11" max="11" width="11.5546875" bestFit="1" customWidth="1"/>
    <col min="12" max="12" width="12.5546875" bestFit="1" customWidth="1"/>
    <col min="14" max="14" width="11.109375" customWidth="1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6"/>
      <c r="B2" s="161" t="s">
        <v>57</v>
      </c>
      <c r="C2" s="161"/>
      <c r="D2" s="161"/>
      <c r="E2" s="161"/>
      <c r="F2" s="16"/>
      <c r="G2" s="161" t="s">
        <v>58</v>
      </c>
      <c r="H2" s="161"/>
      <c r="I2" s="161"/>
      <c r="J2" s="124"/>
      <c r="K2" s="124"/>
      <c r="L2" s="16"/>
    </row>
    <row r="3" spans="1:14" ht="13.8">
      <c r="A3" s="16" t="s">
        <v>17</v>
      </c>
      <c r="B3" s="18" t="s">
        <v>69</v>
      </c>
      <c r="C3" s="18" t="s">
        <v>26</v>
      </c>
      <c r="D3" s="18" t="s">
        <v>70</v>
      </c>
      <c r="E3" s="18" t="s">
        <v>62</v>
      </c>
      <c r="F3" s="18"/>
      <c r="G3" s="124" t="s">
        <v>63</v>
      </c>
      <c r="H3" s="124"/>
      <c r="I3" s="124"/>
      <c r="J3" s="18" t="s">
        <v>71</v>
      </c>
      <c r="K3" s="18" t="s">
        <v>62</v>
      </c>
      <c r="L3" s="18" t="s">
        <v>59</v>
      </c>
    </row>
    <row r="4" spans="1:14" ht="16.2">
      <c r="A4" s="22" t="s">
        <v>60</v>
      </c>
      <c r="B4" s="24" t="s">
        <v>61</v>
      </c>
      <c r="C4" s="25"/>
      <c r="D4" s="25"/>
      <c r="E4" s="25"/>
      <c r="F4" s="25"/>
      <c r="G4" s="24" t="s">
        <v>28</v>
      </c>
      <c r="H4" s="24" t="s">
        <v>72</v>
      </c>
      <c r="I4" s="24" t="s">
        <v>73</v>
      </c>
      <c r="J4" s="25"/>
      <c r="K4" s="25"/>
      <c r="L4" s="18" t="s">
        <v>65</v>
      </c>
    </row>
    <row r="5" spans="1:14" ht="14.4">
      <c r="A5" s="16"/>
      <c r="B5" s="163" t="s">
        <v>74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4" ht="16.2">
      <c r="A6" s="16" t="s">
        <v>35</v>
      </c>
      <c r="B6" s="46">
        <v>2131.2330000000002</v>
      </c>
      <c r="C6" s="46">
        <f>C23</f>
        <v>26155.173000000003</v>
      </c>
      <c r="D6" s="46">
        <f>D23</f>
        <v>303.28830530459993</v>
      </c>
      <c r="E6" s="46">
        <f>E23</f>
        <v>28589.694305304602</v>
      </c>
      <c r="F6" s="46"/>
      <c r="G6" s="46">
        <f>K6-J6</f>
        <v>24825.1031737536</v>
      </c>
      <c r="H6" s="46">
        <v>10348.19</v>
      </c>
      <c r="I6" s="33">
        <f>G6-H6</f>
        <v>14476.913173753599</v>
      </c>
      <c r="J6" s="46">
        <f>J23</f>
        <v>1773.4431315509999</v>
      </c>
      <c r="K6" s="46">
        <f>E6-L6</f>
        <v>26598.546305304601</v>
      </c>
      <c r="L6" s="46">
        <f>L22</f>
        <v>1991.1480000000001</v>
      </c>
    </row>
    <row r="7" spans="1:14" ht="16.2">
      <c r="A7" s="16" t="s">
        <v>36</v>
      </c>
      <c r="B7" s="46">
        <f>L6</f>
        <v>1991.1480000000001</v>
      </c>
      <c r="C7" s="46">
        <v>26195</v>
      </c>
      <c r="D7" s="46">
        <v>325</v>
      </c>
      <c r="E7" s="46">
        <f>SUM(B7:D7)</f>
        <v>28511.148000000001</v>
      </c>
      <c r="F7" s="46"/>
      <c r="G7" s="46">
        <f>K7-J7</f>
        <v>26125</v>
      </c>
      <c r="H7" s="46">
        <v>11600</v>
      </c>
      <c r="I7" s="33">
        <f>G7-H7</f>
        <v>14525</v>
      </c>
      <c r="J7" s="46">
        <v>450</v>
      </c>
      <c r="K7" s="46">
        <f>E7-L7</f>
        <v>26575</v>
      </c>
      <c r="L7" s="46">
        <v>1936.148000000001</v>
      </c>
    </row>
    <row r="8" spans="1:14" ht="16.2">
      <c r="A8" s="16" t="s">
        <v>187</v>
      </c>
      <c r="B8" s="46">
        <f>L7</f>
        <v>1936.148000000001</v>
      </c>
      <c r="C8" s="46">
        <v>27145</v>
      </c>
      <c r="D8" s="46">
        <v>350</v>
      </c>
      <c r="E8" s="46">
        <f>SUM(B8:D8)</f>
        <v>29431.148000000001</v>
      </c>
      <c r="F8" s="46"/>
      <c r="G8" s="46">
        <f>K8-J8</f>
        <v>27000</v>
      </c>
      <c r="H8" s="46">
        <v>12500</v>
      </c>
      <c r="I8" s="33">
        <f>G8-H8</f>
        <v>14500</v>
      </c>
      <c r="J8" s="46">
        <v>600</v>
      </c>
      <c r="K8" s="46">
        <f>E8-L8</f>
        <v>27600</v>
      </c>
      <c r="L8" s="46">
        <v>1831.148000000001</v>
      </c>
    </row>
    <row r="9" spans="1:14" ht="13.8">
      <c r="A9" s="16"/>
      <c r="B9" s="46"/>
      <c r="C9" s="46"/>
      <c r="D9" s="46"/>
      <c r="E9" s="46"/>
      <c r="F9" s="46"/>
      <c r="G9" s="46"/>
      <c r="H9" s="46"/>
      <c r="I9" s="100"/>
      <c r="J9" s="46"/>
      <c r="K9" s="46"/>
      <c r="L9" s="46"/>
    </row>
    <row r="10" spans="1:14" ht="13.8">
      <c r="A10" s="36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16" t="s">
        <v>39</v>
      </c>
      <c r="B11" s="5">
        <f>B6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11"/>
    </row>
    <row r="12" spans="1:14" ht="13.8">
      <c r="A12" s="16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11"/>
    </row>
    <row r="13" spans="1:14" ht="13.8">
      <c r="A13" s="16" t="s">
        <v>42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57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11"/>
    </row>
    <row r="14" spans="1:14" ht="13.8">
      <c r="A14" s="16" t="s">
        <v>43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57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11"/>
    </row>
    <row r="15" spans="1:14" ht="13.8">
      <c r="A15" s="16" t="s">
        <v>44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57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11"/>
    </row>
    <row r="16" spans="1:14" ht="13.8">
      <c r="A16" s="16" t="s">
        <v>46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57"/>
      <c r="G16" s="5">
        <f t="shared" si="1"/>
        <v>2165.6971246715998</v>
      </c>
      <c r="H16" s="6">
        <v>908.29</v>
      </c>
      <c r="I16" s="6">
        <f t="shared" si="2"/>
        <v>1257.4071246715998</v>
      </c>
      <c r="J16" s="6">
        <f>(120845.9*2204.622)/1000000</f>
        <v>266.41952974979995</v>
      </c>
      <c r="K16" s="6">
        <f t="shared" si="3"/>
        <v>2432.1166544213997</v>
      </c>
      <c r="L16" s="5">
        <v>2433.7180000000003</v>
      </c>
      <c r="N16" s="111"/>
    </row>
    <row r="17" spans="1:14" ht="13.8">
      <c r="A17" s="16" t="s">
        <v>47</v>
      </c>
      <c r="B17" s="5">
        <f t="shared" si="4"/>
        <v>2433.7180000000003</v>
      </c>
      <c r="C17" s="6">
        <v>2143.1179999999999</v>
      </c>
      <c r="D17" s="6">
        <f>(10668.4*2204.622)/1000000</f>
        <v>23.519789344799999</v>
      </c>
      <c r="E17" s="6">
        <f t="shared" si="5"/>
        <v>4600.3557893448005</v>
      </c>
      <c r="F17" s="57"/>
      <c r="G17" s="5">
        <f t="shared" si="1"/>
        <v>2008.0906443672006</v>
      </c>
      <c r="H17" s="6">
        <v>838.9</v>
      </c>
      <c r="I17" s="6">
        <f t="shared" si="2"/>
        <v>1169.1906443672005</v>
      </c>
      <c r="J17" s="6">
        <f>(76240.8*2204.622)/1000000</f>
        <v>168.0821449776</v>
      </c>
      <c r="K17" s="6">
        <f t="shared" si="3"/>
        <v>2176.1727893448005</v>
      </c>
      <c r="L17" s="5">
        <v>2424.183</v>
      </c>
      <c r="N17" s="111"/>
    </row>
    <row r="18" spans="1:14" ht="13.8">
      <c r="A18" s="16" t="s">
        <v>48</v>
      </c>
      <c r="B18" s="5">
        <f t="shared" si="4"/>
        <v>2424.183</v>
      </c>
      <c r="C18" s="6">
        <v>2158.7739999999999</v>
      </c>
      <c r="D18" s="112">
        <f>(11311.9*2204.622)/1000000</f>
        <v>24.938463601799999</v>
      </c>
      <c r="E18" s="6">
        <f t="shared" si="5"/>
        <v>4607.8954636018007</v>
      </c>
      <c r="F18" s="57"/>
      <c r="G18" s="5">
        <f t="shared" si="1"/>
        <v>2149.6321321876007</v>
      </c>
      <c r="H18" s="6">
        <v>855.57100000000003</v>
      </c>
      <c r="I18" s="6">
        <f t="shared" si="2"/>
        <v>1294.0611321876008</v>
      </c>
      <c r="J18" s="112">
        <f>(33516.1*2204.622)/1000000</f>
        <v>73.890331414199991</v>
      </c>
      <c r="K18" s="6">
        <f t="shared" si="3"/>
        <v>2223.5224636018006</v>
      </c>
      <c r="L18" s="5">
        <v>2384.373</v>
      </c>
      <c r="N18" s="111"/>
    </row>
    <row r="19" spans="1:14" ht="13.8">
      <c r="A19" s="16" t="s">
        <v>50</v>
      </c>
      <c r="B19" s="5">
        <f t="shared" si="4"/>
        <v>2384.373</v>
      </c>
      <c r="C19" s="6">
        <v>2068.578</v>
      </c>
      <c r="D19" s="112">
        <f>(10963.3*2204.622)/1000000</f>
        <v>24.169932372599998</v>
      </c>
      <c r="E19" s="6">
        <f t="shared" si="5"/>
        <v>4477.1209323725998</v>
      </c>
      <c r="F19" s="57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12">
        <f>(33184.7*2204.622)/1000000</f>
        <v>73.159719683399985</v>
      </c>
      <c r="K19" s="6">
        <f t="shared" si="3"/>
        <v>2161.6169323725999</v>
      </c>
      <c r="L19" s="5">
        <v>2315.5039999999999</v>
      </c>
    </row>
    <row r="20" spans="1:14" ht="13.8">
      <c r="A20" s="16" t="s">
        <v>51</v>
      </c>
      <c r="B20" s="5">
        <f t="shared" si="4"/>
        <v>2315.5039999999999</v>
      </c>
      <c r="C20" s="6">
        <v>2169.9299999999998</v>
      </c>
      <c r="D20" s="112">
        <f>(11391.7*2204.622)/1000000</f>
        <v>25.114392437399999</v>
      </c>
      <c r="E20" s="6">
        <f t="shared" si="5"/>
        <v>4510.5483924373993</v>
      </c>
      <c r="F20" s="57"/>
      <c r="G20" s="5">
        <f t="shared" si="1"/>
        <v>2125.6014242047995</v>
      </c>
      <c r="H20" s="6">
        <v>956.48800000000006</v>
      </c>
      <c r="I20" s="6">
        <f t="shared" si="2"/>
        <v>1169.1134242047995</v>
      </c>
      <c r="J20" s="112">
        <f>(53593.3*2204.622)/1000000</f>
        <v>118.1529682326</v>
      </c>
      <c r="K20" s="6">
        <f t="shared" si="3"/>
        <v>2243.7543924373995</v>
      </c>
      <c r="L20" s="5">
        <v>2266.7939999999999</v>
      </c>
    </row>
    <row r="21" spans="1:14" ht="13.8">
      <c r="A21" s="16" t="s">
        <v>52</v>
      </c>
      <c r="B21" s="5">
        <f t="shared" si="4"/>
        <v>2266.7939999999999</v>
      </c>
      <c r="C21" s="6">
        <v>2095.5810000000001</v>
      </c>
      <c r="D21" s="112">
        <f>(9641.3*2204.622)/1000000</f>
        <v>21.2554220886</v>
      </c>
      <c r="E21" s="6">
        <f t="shared" si="5"/>
        <v>4383.6304220886004</v>
      </c>
      <c r="F21" s="57"/>
      <c r="G21" s="5">
        <f t="shared" si="1"/>
        <v>2222.8252080034008</v>
      </c>
      <c r="H21" s="6">
        <v>924.71799999999996</v>
      </c>
      <c r="I21" s="6">
        <f t="shared" si="2"/>
        <v>1298.107208003401</v>
      </c>
      <c r="J21" s="112">
        <f>(25896.6*2204.622)/1000000</f>
        <v>57.092214085199991</v>
      </c>
      <c r="K21" s="6">
        <f t="shared" si="3"/>
        <v>2279.9174220886007</v>
      </c>
      <c r="L21" s="5">
        <v>2103.7129999999997</v>
      </c>
    </row>
    <row r="22" spans="1:14" ht="13.8">
      <c r="A22" s="16" t="s">
        <v>38</v>
      </c>
      <c r="B22" s="5">
        <f t="shared" si="4"/>
        <v>2103.7129999999997</v>
      </c>
      <c r="C22" s="6">
        <v>1992.9639999999999</v>
      </c>
      <c r="D22" s="112">
        <f>(10329.4*2204.622)/1000000</f>
        <v>22.772422486799996</v>
      </c>
      <c r="E22" s="6">
        <f t="shared" si="5"/>
        <v>4119.4494224867994</v>
      </c>
      <c r="F22" s="57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12">
        <f>(20446.3*2204.622)/1000000</f>
        <v>45.076362798599995</v>
      </c>
      <c r="K22" s="6">
        <f t="shared" si="3"/>
        <v>2128.3014224867993</v>
      </c>
      <c r="L22" s="5">
        <v>1991.1480000000001</v>
      </c>
    </row>
    <row r="23" spans="1:14" ht="13.8">
      <c r="A23" s="16" t="s">
        <v>28</v>
      </c>
      <c r="B23" s="5"/>
      <c r="C23" s="6">
        <f>SUM(C11:C22)</f>
        <v>26155.173000000003</v>
      </c>
      <c r="D23" s="6">
        <f>(137569.3*2204.622)/1000000</f>
        <v>303.28830530459993</v>
      </c>
      <c r="E23" s="6">
        <f>B11+C23+D23</f>
        <v>28589.694305304602</v>
      </c>
      <c r="F23" s="5"/>
      <c r="G23" s="5">
        <f>SUM(G11:G22)</f>
        <v>24825.102953291404</v>
      </c>
      <c r="H23" s="6">
        <f>SUM(H11:H22)</f>
        <v>10348.1917128</v>
      </c>
      <c r="I23" s="6">
        <f>SUM(I11:I22)</f>
        <v>14476.911240491401</v>
      </c>
      <c r="J23" s="6">
        <f>(804420.5*2204.622)/1000000</f>
        <v>1773.4431315509999</v>
      </c>
      <c r="K23" s="5">
        <f>SUM(K11:K22)</f>
        <v>26598.546305304601</v>
      </c>
      <c r="L23" s="5"/>
    </row>
    <row r="24" spans="1:14" ht="13.8">
      <c r="A24" s="16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</row>
    <row r="25" spans="1:14" ht="13.8">
      <c r="A25" s="36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</row>
    <row r="26" spans="1:14" ht="13.8">
      <c r="A26" s="16" t="s">
        <v>39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31" si="6">SUM(B26:D26)</f>
        <v>4358.9793032593998</v>
      </c>
      <c r="F26" s="5"/>
      <c r="G26" s="5">
        <f t="shared" ref="G26:G31" si="7">K26-J26</f>
        <v>2242.2710449107999</v>
      </c>
      <c r="H26" s="6">
        <v>906.40899999999999</v>
      </c>
      <c r="I26" s="6">
        <f t="shared" ref="I26:I30" si="8">G26-H26</f>
        <v>1335.8620449107998</v>
      </c>
      <c r="J26" s="6">
        <f>(10471.3*2204.622)/1000000</f>
        <v>23.085258348599996</v>
      </c>
      <c r="K26" s="6">
        <f t="shared" ref="K26:K31" si="9">E26-L26</f>
        <v>2265.3563032593997</v>
      </c>
      <c r="L26" s="5">
        <v>2093.623</v>
      </c>
    </row>
    <row r="27" spans="1:14" ht="13.8">
      <c r="A27" s="16" t="s">
        <v>40</v>
      </c>
      <c r="B27" s="5">
        <f>L26</f>
        <v>2093.623</v>
      </c>
      <c r="C27" s="6">
        <v>2199.962</v>
      </c>
      <c r="D27" s="6">
        <f>(11744.6*2204.622)/1000000</f>
        <v>25.8924035412</v>
      </c>
      <c r="E27" s="6">
        <f t="shared" si="6"/>
        <v>4319.4774035412001</v>
      </c>
      <c r="F27" s="5"/>
      <c r="G27" s="5">
        <f t="shared" si="7"/>
        <v>2183.7515713444004</v>
      </c>
      <c r="H27" s="6">
        <v>943.34199999999998</v>
      </c>
      <c r="I27" s="6">
        <f t="shared" si="8"/>
        <v>1240.4095713444003</v>
      </c>
      <c r="J27" s="6">
        <f>(10634.4*2204.622)/1000000</f>
        <v>23.444832196799997</v>
      </c>
      <c r="K27" s="6">
        <f t="shared" si="9"/>
        <v>2207.1964035412002</v>
      </c>
      <c r="L27" s="5">
        <v>2112.2809999999999</v>
      </c>
    </row>
    <row r="28" spans="1:14" ht="13.8">
      <c r="A28" s="16" t="s">
        <v>42</v>
      </c>
      <c r="B28" s="5">
        <f>L27</f>
        <v>2112.2809999999999</v>
      </c>
      <c r="C28" s="6">
        <v>2195.3580000000002</v>
      </c>
      <c r="D28" s="6">
        <f>(10252.4*2204.622)/1000000</f>
        <v>22.602666592799999</v>
      </c>
      <c r="E28" s="6">
        <f t="shared" si="6"/>
        <v>4330.2416665928004</v>
      </c>
      <c r="F28" s="5"/>
      <c r="G28" s="5">
        <f t="shared" si="7"/>
        <v>1989.4369064418004</v>
      </c>
      <c r="H28" s="6">
        <v>885.44299999999998</v>
      </c>
      <c r="I28" s="6">
        <f t="shared" si="8"/>
        <v>1103.9939064418004</v>
      </c>
      <c r="J28" s="6">
        <f>(15720.5*2204.622)/1000000</f>
        <v>34.657760150999998</v>
      </c>
      <c r="K28" s="6">
        <f t="shared" si="9"/>
        <v>2024.0946665928004</v>
      </c>
      <c r="L28" s="5">
        <v>2306.1469999999999</v>
      </c>
    </row>
    <row r="29" spans="1:14" ht="13.8">
      <c r="A29" s="16" t="s">
        <v>43</v>
      </c>
      <c r="B29" s="5">
        <f>L28</f>
        <v>2306.1469999999999</v>
      </c>
      <c r="C29" s="6">
        <v>2252.3119999999999</v>
      </c>
      <c r="D29" s="6">
        <f>(11450.2*2204.622)/1000000</f>
        <v>25.243362824400002</v>
      </c>
      <c r="E29" s="6">
        <f t="shared" si="6"/>
        <v>4583.7023628243996</v>
      </c>
      <c r="F29" s="5"/>
      <c r="G29" s="5">
        <f t="shared" si="7"/>
        <v>2211.8930392041998</v>
      </c>
      <c r="H29" s="6">
        <v>940.87400000000002</v>
      </c>
      <c r="I29" s="6">
        <f t="shared" si="8"/>
        <v>1271.0190392041998</v>
      </c>
      <c r="J29" s="6">
        <f>(6989.1*2204.622)/1000000</f>
        <v>15.408323620199999</v>
      </c>
      <c r="K29" s="6">
        <f t="shared" si="9"/>
        <v>2227.3013628243998</v>
      </c>
      <c r="L29" s="5">
        <v>2356.4009999999998</v>
      </c>
    </row>
    <row r="30" spans="1:14" ht="13.8">
      <c r="A30" s="16" t="s">
        <v>44</v>
      </c>
      <c r="B30" s="5">
        <f>L29</f>
        <v>2356.4009999999998</v>
      </c>
      <c r="C30" s="6">
        <v>2091.2179999999998</v>
      </c>
      <c r="D30" s="6">
        <f>(15213.2*2204.622)/1000000</f>
        <v>33.539355410399999</v>
      </c>
      <c r="E30" s="6">
        <f t="shared" si="6"/>
        <v>4481.1583554104</v>
      </c>
      <c r="F30" s="5"/>
      <c r="G30" s="5">
        <f t="shared" si="7"/>
        <v>2091.4034745958002</v>
      </c>
      <c r="H30" s="6">
        <v>909.98699999999997</v>
      </c>
      <c r="I30" s="6">
        <f t="shared" si="8"/>
        <v>1181.4164745958001</v>
      </c>
      <c r="J30" s="6">
        <f>(11774.3*2204.622)/1000000</f>
        <v>25.957880814599999</v>
      </c>
      <c r="K30" s="6">
        <f t="shared" si="9"/>
        <v>2117.3613554103999</v>
      </c>
      <c r="L30" s="5">
        <v>2363.797</v>
      </c>
    </row>
    <row r="31" spans="1:14" ht="13.8">
      <c r="A31" s="15" t="s">
        <v>46</v>
      </c>
      <c r="B31" s="53">
        <f>L30</f>
        <v>2363.797</v>
      </c>
      <c r="C31" s="41">
        <v>2339.5810000000001</v>
      </c>
      <c r="D31" s="41">
        <f>(15180.8*2204.622)/1000000</f>
        <v>33.467925657599999</v>
      </c>
      <c r="E31" s="41">
        <f t="shared" si="6"/>
        <v>4736.8459256576007</v>
      </c>
      <c r="F31" s="53"/>
      <c r="G31" s="53">
        <f t="shared" si="7"/>
        <v>2336.5298038548008</v>
      </c>
      <c r="H31" s="41" t="s">
        <v>75</v>
      </c>
      <c r="I31" s="41" t="s">
        <v>75</v>
      </c>
      <c r="J31" s="41">
        <f>(5807.4*2204.622)/1000000</f>
        <v>12.803121802799998</v>
      </c>
      <c r="K31" s="41">
        <f t="shared" si="9"/>
        <v>2349.3329256576008</v>
      </c>
      <c r="L31" s="53">
        <v>2387.5129999999999</v>
      </c>
    </row>
    <row r="32" spans="1:14" ht="16.2">
      <c r="A32" s="49" t="s">
        <v>76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 ht="14.4">
      <c r="A33" s="16" t="s">
        <v>68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3.8">
      <c r="A34" s="21" t="s">
        <v>56</v>
      </c>
      <c r="B34" s="43">
        <f>Contents!A16</f>
        <v>45062</v>
      </c>
      <c r="K34" s="40"/>
    </row>
    <row r="35" spans="1:12">
      <c r="E35" s="40"/>
    </row>
  </sheetData>
  <mergeCells count="3">
    <mergeCell ref="B5:L5"/>
    <mergeCell ref="G2:I2"/>
    <mergeCell ref="B2:E2"/>
  </mergeCells>
  <phoneticPr fontId="28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zoomScale="70" zoomScaleNormal="70" workbookViewId="0"/>
  </sheetViews>
  <sheetFormatPr defaultColWidth="9.109375" defaultRowHeight="13.2"/>
  <cols>
    <col min="1" max="1" width="15.33203125" customWidth="1"/>
    <col min="2" max="2" width="13.109375" customWidth="1"/>
    <col min="3" max="3" width="12.109375" customWidth="1"/>
    <col min="4" max="4" width="13.44140625" customWidth="1"/>
    <col min="5" max="5" width="15.33203125" customWidth="1"/>
    <col min="6" max="6" width="11.44140625" customWidth="1"/>
    <col min="7" max="7" width="11.6640625" customWidth="1"/>
    <col min="8" max="8" width="8.6640625" customWidth="1"/>
    <col min="9" max="9" width="9.6640625" customWidth="1"/>
    <col min="10" max="11" width="7.6640625" customWidth="1"/>
    <col min="12" max="12" width="8.5546875" customWidth="1"/>
    <col min="13" max="13" width="9.5546875" customWidth="1"/>
    <col min="14" max="15" width="7.5546875" customWidth="1"/>
    <col min="19" max="19" width="17.44140625" bestFit="1" customWidth="1"/>
    <col min="21" max="21" width="28.33203125" bestFit="1" customWidth="1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</row>
    <row r="2" spans="1:15" ht="13.8">
      <c r="A2" s="16"/>
      <c r="B2" s="161" t="s">
        <v>57</v>
      </c>
      <c r="C2" s="161"/>
      <c r="D2" s="161"/>
      <c r="E2" s="161"/>
      <c r="F2" s="82"/>
      <c r="G2" s="161" t="s">
        <v>58</v>
      </c>
      <c r="H2" s="161"/>
      <c r="I2" s="161"/>
      <c r="J2" s="161"/>
      <c r="K2" s="82"/>
      <c r="L2" s="16"/>
      <c r="M2" s="16"/>
      <c r="N2" s="16"/>
      <c r="O2" s="16"/>
    </row>
    <row r="3" spans="1:15" ht="13.8">
      <c r="A3" s="16" t="s">
        <v>17</v>
      </c>
      <c r="B3" s="21" t="s">
        <v>69</v>
      </c>
      <c r="C3" s="21"/>
      <c r="D3" s="21"/>
      <c r="E3" s="21"/>
      <c r="F3" s="21"/>
      <c r="G3" s="21"/>
      <c r="H3" s="21"/>
      <c r="I3" s="21"/>
      <c r="J3" s="21"/>
      <c r="K3" s="18" t="s">
        <v>59</v>
      </c>
      <c r="L3" s="16"/>
      <c r="M3" s="16"/>
      <c r="N3" s="16"/>
      <c r="O3" s="16"/>
    </row>
    <row r="4" spans="1:15" ht="13.8">
      <c r="A4" s="22" t="s">
        <v>77</v>
      </c>
      <c r="B4" s="24" t="s">
        <v>78</v>
      </c>
      <c r="C4" s="66" t="s">
        <v>26</v>
      </c>
      <c r="D4" s="26" t="s">
        <v>70</v>
      </c>
      <c r="E4" s="24" t="s">
        <v>79</v>
      </c>
      <c r="F4" s="25"/>
      <c r="G4" s="24" t="s">
        <v>80</v>
      </c>
      <c r="H4" s="24" t="s">
        <v>30</v>
      </c>
      <c r="I4" s="24" t="s">
        <v>81</v>
      </c>
      <c r="J4" s="24" t="s">
        <v>82</v>
      </c>
      <c r="K4" s="24" t="s">
        <v>61</v>
      </c>
      <c r="L4" s="16"/>
      <c r="M4" s="16"/>
      <c r="N4" s="16"/>
      <c r="O4" s="16"/>
    </row>
    <row r="5" spans="1:15" ht="14.4">
      <c r="A5" s="16"/>
      <c r="B5" s="164" t="s">
        <v>83</v>
      </c>
      <c r="C5" s="164"/>
      <c r="D5" s="164"/>
      <c r="E5" s="164"/>
      <c r="F5" s="164"/>
      <c r="G5" s="164"/>
      <c r="H5" s="164"/>
      <c r="I5" s="164"/>
      <c r="J5" s="164"/>
      <c r="K5" s="164"/>
      <c r="L5" s="16"/>
      <c r="M5" s="16"/>
      <c r="N5" s="16"/>
      <c r="O5" s="16"/>
    </row>
    <row r="6" spans="1:15" ht="13.8">
      <c r="A6" s="16" t="s">
        <v>37</v>
      </c>
      <c r="B6" s="84">
        <v>395.64255294480427</v>
      </c>
      <c r="C6" s="84">
        <v>5323</v>
      </c>
      <c r="D6" s="85">
        <v>24.765738432900992</v>
      </c>
      <c r="E6" s="84">
        <f>B6+C6+D6</f>
        <v>5743.4082913777056</v>
      </c>
      <c r="F6" s="86"/>
      <c r="G6" s="84">
        <v>1556.9839999999999</v>
      </c>
      <c r="H6" s="87">
        <v>297.69790855776995</v>
      </c>
      <c r="I6" s="84">
        <f>J6-G6-H6</f>
        <v>3493.8003828199353</v>
      </c>
      <c r="J6" s="84">
        <f>E6-K6</f>
        <v>5348.4822913777052</v>
      </c>
      <c r="K6" s="84">
        <v>394.92599999999999</v>
      </c>
      <c r="L6" s="16"/>
      <c r="M6" s="16"/>
      <c r="N6" s="16"/>
      <c r="O6" s="16"/>
    </row>
    <row r="7" spans="1:15" ht="16.2">
      <c r="A7" s="16" t="s">
        <v>188</v>
      </c>
      <c r="B7" s="84">
        <f>K6</f>
        <v>394.92599999999999</v>
      </c>
      <c r="C7" s="84">
        <v>4455</v>
      </c>
      <c r="D7" s="85">
        <v>100</v>
      </c>
      <c r="E7" s="84">
        <f>B7+C7+D7</f>
        <v>4949.9260000000004</v>
      </c>
      <c r="F7" s="86"/>
      <c r="G7" s="84">
        <v>1500</v>
      </c>
      <c r="H7" s="87">
        <v>170</v>
      </c>
      <c r="I7" s="84">
        <f>J7-G7-H7</f>
        <v>2852</v>
      </c>
      <c r="J7" s="84">
        <f>E7-K7</f>
        <v>4522</v>
      </c>
      <c r="K7" s="84">
        <v>427.92599999999999</v>
      </c>
      <c r="L7" s="16"/>
      <c r="M7" s="16"/>
      <c r="N7" s="16"/>
      <c r="O7" s="16"/>
    </row>
    <row r="8" spans="1:15" ht="16.2">
      <c r="A8" s="15" t="s">
        <v>187</v>
      </c>
      <c r="B8" s="88">
        <f>K7</f>
        <v>427.92599999999999</v>
      </c>
      <c r="C8" s="88">
        <v>4835</v>
      </c>
      <c r="D8" s="89">
        <v>25</v>
      </c>
      <c r="E8" s="88">
        <f>B8+C8+D8</f>
        <v>5287.9260000000004</v>
      </c>
      <c r="F8" s="90"/>
      <c r="G8" s="88">
        <v>1550</v>
      </c>
      <c r="H8" s="91">
        <v>300</v>
      </c>
      <c r="I8" s="88">
        <f>J8-G8-H8</f>
        <v>3000</v>
      </c>
      <c r="J8" s="88">
        <f>E8-K8</f>
        <v>4850</v>
      </c>
      <c r="K8" s="88">
        <v>437.92599999999999</v>
      </c>
      <c r="L8" s="16"/>
      <c r="M8" s="16"/>
      <c r="N8" s="16"/>
      <c r="O8" s="16"/>
    </row>
    <row r="9" spans="1:15" ht="16.2">
      <c r="A9" s="49" t="s">
        <v>84</v>
      </c>
      <c r="B9" s="16"/>
      <c r="C9" s="83"/>
      <c r="D9" s="83"/>
      <c r="E9" s="83"/>
      <c r="F9" s="83"/>
      <c r="G9" s="92"/>
      <c r="H9" s="83"/>
      <c r="I9" s="83"/>
      <c r="J9" s="83"/>
      <c r="K9" s="16"/>
      <c r="L9" s="16"/>
      <c r="M9" s="16"/>
      <c r="N9" s="16"/>
      <c r="O9" s="16"/>
    </row>
    <row r="10" spans="1:15" ht="14.4">
      <c r="A10" s="16" t="s">
        <v>182</v>
      </c>
      <c r="B10" s="34"/>
      <c r="C10" s="39"/>
      <c r="D10" s="16"/>
      <c r="E10" s="34"/>
      <c r="F10" s="34"/>
      <c r="G10" s="34"/>
      <c r="H10" s="34"/>
      <c r="I10" s="34"/>
      <c r="J10" s="34"/>
      <c r="K10" s="16"/>
      <c r="L10" s="16"/>
      <c r="M10" s="16"/>
      <c r="N10" s="16"/>
      <c r="O10" s="16"/>
    </row>
    <row r="11" spans="1:15" ht="14.4">
      <c r="A11" s="16" t="s">
        <v>85</v>
      </c>
      <c r="B11" s="34"/>
      <c r="C11" s="39"/>
      <c r="D11" s="16"/>
      <c r="E11" s="34"/>
      <c r="F11" s="34"/>
      <c r="G11" s="34"/>
      <c r="H11" s="34"/>
      <c r="I11" s="34"/>
      <c r="J11" s="34"/>
      <c r="K11" s="16"/>
      <c r="L11" s="16"/>
      <c r="M11" s="16"/>
      <c r="N11" s="16"/>
      <c r="O11" s="16"/>
    </row>
    <row r="12" spans="1:15" ht="13.8">
      <c r="A12" s="16"/>
      <c r="B12" s="34"/>
      <c r="C12" s="39"/>
      <c r="D12" s="16"/>
      <c r="E12" s="34"/>
      <c r="F12" s="34"/>
      <c r="G12" s="34"/>
      <c r="H12" s="34"/>
      <c r="I12" s="34"/>
      <c r="J12" s="34"/>
      <c r="K12" s="16"/>
      <c r="L12" s="16"/>
      <c r="M12" s="16"/>
      <c r="N12" s="16"/>
      <c r="O12" s="16"/>
    </row>
    <row r="13" spans="1:15" ht="13.8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6"/>
      <c r="J14" s="15"/>
      <c r="K14" s="16"/>
      <c r="L14" s="16"/>
      <c r="M14" s="16"/>
      <c r="N14" s="16"/>
      <c r="O14" s="16"/>
    </row>
    <row r="15" spans="1:15" ht="13.8">
      <c r="A15" s="16"/>
      <c r="B15" s="161" t="s">
        <v>57</v>
      </c>
      <c r="C15" s="161"/>
      <c r="D15" s="161"/>
      <c r="E15" s="161"/>
      <c r="F15" s="16"/>
      <c r="G15" s="161" t="s">
        <v>58</v>
      </c>
      <c r="H15" s="161"/>
      <c r="I15" s="161"/>
      <c r="J15" s="16"/>
      <c r="K15" s="16"/>
      <c r="L15" s="16"/>
      <c r="M15" s="16"/>
      <c r="N15" s="16"/>
      <c r="O15" s="16"/>
    </row>
    <row r="16" spans="1:15" ht="13.8">
      <c r="A16" s="16" t="s">
        <v>17</v>
      </c>
      <c r="B16" s="18" t="s">
        <v>69</v>
      </c>
      <c r="C16" s="21"/>
      <c r="D16" s="21"/>
      <c r="E16" s="21"/>
      <c r="F16" s="21"/>
      <c r="G16" s="21"/>
      <c r="H16" s="21"/>
      <c r="I16" s="21"/>
      <c r="J16" s="18" t="s">
        <v>59</v>
      </c>
      <c r="K16" s="16"/>
      <c r="L16" s="16"/>
      <c r="M16" s="16"/>
      <c r="N16" s="16"/>
      <c r="O16" s="16"/>
    </row>
    <row r="17" spans="1:15" ht="13.8">
      <c r="A17" s="22" t="s">
        <v>60</v>
      </c>
      <c r="B17" s="24" t="s">
        <v>61</v>
      </c>
      <c r="C17" s="66" t="s">
        <v>26</v>
      </c>
      <c r="D17" s="26" t="s">
        <v>70</v>
      </c>
      <c r="E17" s="24" t="s">
        <v>82</v>
      </c>
      <c r="F17" s="25"/>
      <c r="G17" s="84" t="s">
        <v>86</v>
      </c>
      <c r="H17" s="24" t="s">
        <v>30</v>
      </c>
      <c r="I17" s="26" t="s">
        <v>62</v>
      </c>
      <c r="J17" s="24" t="s">
        <v>61</v>
      </c>
      <c r="K17" s="16"/>
      <c r="L17" s="16"/>
      <c r="M17" s="16"/>
      <c r="N17" s="16"/>
      <c r="O17" s="16"/>
    </row>
    <row r="18" spans="1:15" ht="14.4">
      <c r="A18" s="16"/>
      <c r="B18" s="164" t="s">
        <v>87</v>
      </c>
      <c r="C18" s="164"/>
      <c r="D18" s="164"/>
      <c r="E18" s="164"/>
      <c r="F18" s="164"/>
      <c r="G18" s="164"/>
      <c r="H18" s="164"/>
      <c r="I18" s="164"/>
      <c r="J18" s="164"/>
      <c r="K18" s="16"/>
      <c r="L18" s="16"/>
      <c r="M18" s="16"/>
      <c r="N18" s="16"/>
      <c r="O18" s="16"/>
    </row>
    <row r="19" spans="1:15" ht="13.8">
      <c r="A19" s="16" t="s">
        <v>37</v>
      </c>
      <c r="B19" s="84">
        <v>39.305999999999997</v>
      </c>
      <c r="C19" s="87">
        <v>695</v>
      </c>
      <c r="D19" s="116">
        <v>0.10141264051999997</v>
      </c>
      <c r="E19" s="87">
        <f>B19+C19+D19</f>
        <v>734.40741264052008</v>
      </c>
      <c r="F19" s="86"/>
      <c r="G19" s="87">
        <f>E19-J19-H19</f>
        <v>658.743182863843</v>
      </c>
      <c r="H19" s="87">
        <v>53.348229776676988</v>
      </c>
      <c r="I19" s="87">
        <f>SUM(G19:H19)</f>
        <v>712.09141264052005</v>
      </c>
      <c r="J19" s="84">
        <v>22.315999999999999</v>
      </c>
      <c r="K19" s="16"/>
      <c r="L19" s="16"/>
      <c r="M19" s="16"/>
      <c r="N19" s="16"/>
      <c r="O19" s="16"/>
    </row>
    <row r="20" spans="1:15" ht="16.2">
      <c r="A20" s="16" t="s">
        <v>188</v>
      </c>
      <c r="B20" s="84">
        <f>J19</f>
        <v>22.315999999999999</v>
      </c>
      <c r="C20" s="87">
        <v>630</v>
      </c>
      <c r="D20" s="85">
        <v>0</v>
      </c>
      <c r="E20" s="87">
        <f>B20+C20+D20</f>
        <v>652.31600000000003</v>
      </c>
      <c r="F20" s="86"/>
      <c r="G20" s="87">
        <f>E20-J20-H20</f>
        <v>552.31600000000003</v>
      </c>
      <c r="H20" s="87">
        <v>60</v>
      </c>
      <c r="I20" s="87">
        <f>SUM(G20:H20)</f>
        <v>612.31600000000003</v>
      </c>
      <c r="J20" s="84">
        <v>40</v>
      </c>
      <c r="K20" s="16"/>
      <c r="L20" s="16"/>
      <c r="M20" s="16"/>
      <c r="N20" s="16"/>
      <c r="O20" s="16"/>
    </row>
    <row r="21" spans="1:15" ht="16.2">
      <c r="A21" s="15" t="s">
        <v>187</v>
      </c>
      <c r="B21" s="88">
        <f>J20</f>
        <v>40</v>
      </c>
      <c r="C21" s="91">
        <v>700</v>
      </c>
      <c r="D21" s="89">
        <v>0</v>
      </c>
      <c r="E21" s="91">
        <f>B21+C21+D21</f>
        <v>740</v>
      </c>
      <c r="F21" s="90"/>
      <c r="G21" s="91">
        <f>E21-J21-H21</f>
        <v>620</v>
      </c>
      <c r="H21" s="91">
        <v>80</v>
      </c>
      <c r="I21" s="91">
        <f>SUM(G21:H21)</f>
        <v>700</v>
      </c>
      <c r="J21" s="88">
        <v>40</v>
      </c>
      <c r="K21" s="16"/>
      <c r="L21" s="16"/>
      <c r="M21" s="16"/>
      <c r="N21" s="16"/>
      <c r="O21" s="16"/>
    </row>
    <row r="22" spans="1:15" ht="16.2">
      <c r="A22" s="49" t="s">
        <v>84</v>
      </c>
      <c r="B22" s="16"/>
      <c r="C22" s="83"/>
      <c r="D22" s="83"/>
      <c r="E22" s="83"/>
      <c r="F22" s="83"/>
      <c r="G22" s="83"/>
      <c r="H22" s="83"/>
      <c r="I22" s="16"/>
      <c r="J22" s="16"/>
      <c r="K22" s="16"/>
      <c r="L22" s="16"/>
      <c r="M22" s="16"/>
      <c r="N22" s="16"/>
      <c r="O22" s="16"/>
    </row>
    <row r="23" spans="1:15" ht="14.4">
      <c r="A23" s="16" t="s">
        <v>88</v>
      </c>
      <c r="B23" s="86"/>
      <c r="C23" s="86"/>
      <c r="D23" s="86"/>
      <c r="E23" s="86"/>
      <c r="F23" s="86"/>
      <c r="G23" s="86"/>
      <c r="H23" s="86"/>
      <c r="I23" s="16"/>
      <c r="J23" s="16"/>
      <c r="K23" s="16"/>
      <c r="L23" s="16"/>
      <c r="M23" s="16"/>
      <c r="N23" s="16"/>
      <c r="O23" s="16"/>
    </row>
    <row r="24" spans="1:15" ht="13.8">
      <c r="A24" s="16"/>
      <c r="B24" s="34"/>
      <c r="C24" s="34"/>
      <c r="D24" s="34"/>
      <c r="E24" s="34"/>
      <c r="F24" s="34"/>
      <c r="G24" s="34"/>
      <c r="H24" s="34"/>
      <c r="I24" s="16"/>
      <c r="J24" s="16"/>
      <c r="K24" s="16"/>
      <c r="L24" s="16"/>
      <c r="M24" s="16"/>
      <c r="N24" s="16"/>
      <c r="O24" s="16"/>
    </row>
    <row r="25" spans="1:15" ht="13.8">
      <c r="A25" s="16"/>
      <c r="B25" s="34"/>
      <c r="C25" s="39"/>
      <c r="D25" s="34"/>
      <c r="E25" s="34"/>
      <c r="F25" s="34"/>
      <c r="G25" s="34"/>
      <c r="H25" s="34"/>
      <c r="I25" s="16"/>
      <c r="J25" s="16"/>
      <c r="K25" s="16"/>
      <c r="L25" s="16"/>
      <c r="M25" s="16"/>
      <c r="N25" s="16"/>
      <c r="O25" s="16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6"/>
      <c r="J26" s="15"/>
      <c r="K26" s="16"/>
      <c r="L26" s="16"/>
      <c r="M26" s="16"/>
      <c r="N26" s="16"/>
      <c r="O26" s="16"/>
    </row>
    <row r="27" spans="1:15" ht="13.8">
      <c r="A27" s="16"/>
      <c r="B27" s="161" t="s">
        <v>57</v>
      </c>
      <c r="C27" s="161"/>
      <c r="D27" s="161"/>
      <c r="E27" s="161"/>
      <c r="F27" s="16"/>
      <c r="G27" s="161" t="s">
        <v>58</v>
      </c>
      <c r="H27" s="161"/>
      <c r="I27" s="161"/>
      <c r="J27" s="16"/>
      <c r="K27" s="16"/>
      <c r="L27" s="16"/>
      <c r="M27" s="16"/>
      <c r="N27" s="16"/>
      <c r="O27" s="16"/>
    </row>
    <row r="28" spans="1:15" ht="13.8">
      <c r="A28" s="16" t="s">
        <v>17</v>
      </c>
      <c r="B28" s="18" t="s">
        <v>69</v>
      </c>
      <c r="C28" s="21"/>
      <c r="D28" s="21"/>
      <c r="E28" s="21"/>
      <c r="F28" s="21"/>
      <c r="G28" s="21"/>
      <c r="H28" s="21"/>
      <c r="I28" s="21"/>
      <c r="J28" s="18" t="s">
        <v>59</v>
      </c>
      <c r="K28" s="16"/>
      <c r="L28" s="16"/>
      <c r="M28" s="16"/>
      <c r="N28" s="16"/>
      <c r="O28" s="16"/>
    </row>
    <row r="29" spans="1:15" ht="13.8">
      <c r="A29" s="22" t="s">
        <v>60</v>
      </c>
      <c r="B29" s="24" t="s">
        <v>61</v>
      </c>
      <c r="C29" s="24" t="s">
        <v>26</v>
      </c>
      <c r="D29" s="26" t="s">
        <v>70</v>
      </c>
      <c r="E29" s="24" t="s">
        <v>82</v>
      </c>
      <c r="F29" s="25"/>
      <c r="G29" s="24" t="s">
        <v>63</v>
      </c>
      <c r="H29" s="24" t="s">
        <v>30</v>
      </c>
      <c r="I29" s="24" t="s">
        <v>62</v>
      </c>
      <c r="J29" s="24" t="s">
        <v>65</v>
      </c>
      <c r="K29" s="16"/>
      <c r="L29" s="16"/>
      <c r="M29" s="16"/>
      <c r="N29" s="16"/>
      <c r="O29" s="16"/>
    </row>
    <row r="30" spans="1:15" ht="14.4">
      <c r="A30" s="16"/>
      <c r="B30" s="164" t="s">
        <v>74</v>
      </c>
      <c r="C30" s="164"/>
      <c r="D30" s="164"/>
      <c r="E30" s="164"/>
      <c r="F30" s="164"/>
      <c r="G30" s="164"/>
      <c r="H30" s="164"/>
      <c r="I30" s="164"/>
      <c r="J30" s="164"/>
      <c r="K30" s="16"/>
      <c r="L30" s="16"/>
      <c r="M30" s="16"/>
      <c r="N30" s="16"/>
      <c r="O30" s="16"/>
    </row>
    <row r="31" spans="1:15" ht="13.8">
      <c r="A31" s="16" t="s">
        <v>37</v>
      </c>
      <c r="B31" s="85">
        <v>48.207999999999998</v>
      </c>
      <c r="C31" s="87">
        <v>430</v>
      </c>
      <c r="D31" s="85">
        <v>24.878284417651997</v>
      </c>
      <c r="E31" s="93">
        <f>B31+C31+D31</f>
        <v>503.086284417652</v>
      </c>
      <c r="F31" s="86"/>
      <c r="G31" s="87">
        <f>I31-H31</f>
        <v>325.59072038149202</v>
      </c>
      <c r="H31" s="87">
        <v>127.79756403616</v>
      </c>
      <c r="I31" s="87">
        <f>E31-J31</f>
        <v>453.38828441765202</v>
      </c>
      <c r="J31" s="87">
        <v>49.698</v>
      </c>
      <c r="K31" s="16"/>
      <c r="L31" s="16"/>
      <c r="M31" s="16"/>
      <c r="N31" s="16"/>
      <c r="O31" s="16"/>
    </row>
    <row r="32" spans="1:15" ht="16.2">
      <c r="A32" s="16" t="s">
        <v>188</v>
      </c>
      <c r="B32" s="85">
        <f>J31</f>
        <v>49.698</v>
      </c>
      <c r="C32" s="87">
        <v>400</v>
      </c>
      <c r="D32" s="85">
        <v>20</v>
      </c>
      <c r="E32" s="93">
        <f>B32+C32+D32</f>
        <v>469.69799999999998</v>
      </c>
      <c r="F32" s="86"/>
      <c r="G32" s="87">
        <f>I32-H32</f>
        <v>339.69799999999998</v>
      </c>
      <c r="H32" s="87">
        <v>80</v>
      </c>
      <c r="I32" s="87">
        <f>E32-J32</f>
        <v>419.69799999999998</v>
      </c>
      <c r="J32" s="87">
        <v>50</v>
      </c>
      <c r="K32" s="16"/>
      <c r="L32" s="16"/>
      <c r="M32" s="16"/>
      <c r="N32" s="16"/>
      <c r="O32" s="16"/>
    </row>
    <row r="33" spans="1:17" ht="16.2">
      <c r="A33" s="15" t="s">
        <v>187</v>
      </c>
      <c r="B33" s="89">
        <f>J32</f>
        <v>50</v>
      </c>
      <c r="C33" s="91">
        <v>420</v>
      </c>
      <c r="D33" s="89">
        <v>20</v>
      </c>
      <c r="E33" s="94">
        <f>B33+C33+D33</f>
        <v>490</v>
      </c>
      <c r="F33" s="90"/>
      <c r="G33" s="91">
        <f>I33-H33</f>
        <v>360.30200000000002</v>
      </c>
      <c r="H33" s="91">
        <v>80</v>
      </c>
      <c r="I33" s="91">
        <f>E33-J33</f>
        <v>440.30200000000002</v>
      </c>
      <c r="J33" s="91">
        <v>49.698</v>
      </c>
      <c r="K33" s="16"/>
      <c r="L33" s="16"/>
      <c r="M33" s="16"/>
      <c r="N33" s="16"/>
      <c r="O33" s="16"/>
    </row>
    <row r="34" spans="1:17" ht="16.2">
      <c r="A34" s="49" t="s">
        <v>84</v>
      </c>
      <c r="B34" s="16"/>
      <c r="C34" s="83"/>
      <c r="D34" s="83"/>
      <c r="E34" s="83"/>
      <c r="F34" s="83"/>
      <c r="G34" s="83"/>
      <c r="H34" s="83"/>
      <c r="I34" s="16"/>
      <c r="J34" s="16"/>
      <c r="K34" s="16"/>
      <c r="L34" s="16"/>
      <c r="M34" s="16"/>
      <c r="N34" s="16"/>
      <c r="O34" s="16"/>
    </row>
    <row r="35" spans="1:17" ht="14.4">
      <c r="A35" s="16" t="s">
        <v>88</v>
      </c>
      <c r="B35" s="34"/>
      <c r="C35" s="39"/>
      <c r="D35" s="34"/>
      <c r="E35" s="34"/>
      <c r="F35" s="34"/>
      <c r="G35" s="34"/>
      <c r="H35" s="34"/>
      <c r="I35" s="16"/>
      <c r="J35" s="16"/>
      <c r="K35" s="16"/>
      <c r="L35" s="16"/>
      <c r="M35" s="16"/>
      <c r="N35" s="16"/>
      <c r="O35" s="16"/>
    </row>
    <row r="36" spans="1:17" ht="13.8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7" ht="13.8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</row>
    <row r="39" spans="1:17" ht="13.8">
      <c r="A39" s="16"/>
      <c r="B39" s="161" t="s">
        <v>13</v>
      </c>
      <c r="C39" s="161"/>
      <c r="D39" s="18" t="s">
        <v>14</v>
      </c>
      <c r="E39" s="161" t="s">
        <v>15</v>
      </c>
      <c r="F39" s="161"/>
      <c r="G39" s="161"/>
      <c r="H39" s="161"/>
      <c r="I39" s="16"/>
      <c r="J39" s="161" t="s">
        <v>58</v>
      </c>
      <c r="K39" s="161"/>
      <c r="L39" s="161"/>
      <c r="M39" s="161"/>
      <c r="N39" s="161"/>
      <c r="O39" s="82"/>
    </row>
    <row r="40" spans="1:17" ht="13.8">
      <c r="A40" s="16" t="s">
        <v>17</v>
      </c>
      <c r="B40" s="18" t="s">
        <v>18</v>
      </c>
      <c r="C40" s="18" t="s">
        <v>19</v>
      </c>
      <c r="D40" s="16"/>
      <c r="E40" s="18" t="s">
        <v>69</v>
      </c>
      <c r="F40" s="18"/>
      <c r="G40" s="18"/>
      <c r="H40" s="18"/>
      <c r="I40" s="16"/>
      <c r="J40" s="63" t="s">
        <v>86</v>
      </c>
      <c r="K40" s="18"/>
      <c r="L40" s="18" t="s">
        <v>22</v>
      </c>
      <c r="M40" s="18"/>
      <c r="N40" s="18"/>
      <c r="O40" s="18" t="s">
        <v>59</v>
      </c>
    </row>
    <row r="41" spans="1:17" ht="13.8">
      <c r="A41" s="22" t="s">
        <v>77</v>
      </c>
      <c r="B41" s="23"/>
      <c r="C41" s="23"/>
      <c r="D41" s="23"/>
      <c r="E41" s="24" t="s">
        <v>61</v>
      </c>
      <c r="F41" s="24" t="s">
        <v>26</v>
      </c>
      <c r="G41" s="24" t="s">
        <v>70</v>
      </c>
      <c r="H41" s="24" t="s">
        <v>82</v>
      </c>
      <c r="I41" s="24"/>
      <c r="J41" s="24" t="s">
        <v>89</v>
      </c>
      <c r="K41" s="24" t="s">
        <v>80</v>
      </c>
      <c r="L41" s="24" t="s">
        <v>29</v>
      </c>
      <c r="M41" s="26" t="s">
        <v>30</v>
      </c>
      <c r="N41" s="24" t="s">
        <v>62</v>
      </c>
      <c r="O41" s="24" t="s">
        <v>65</v>
      </c>
    </row>
    <row r="42" spans="1:17" ht="14.4">
      <c r="A42" s="16"/>
      <c r="B42" s="165" t="s">
        <v>90</v>
      </c>
      <c r="C42" s="166"/>
      <c r="D42" s="95" t="s">
        <v>91</v>
      </c>
      <c r="E42" s="167" t="s">
        <v>92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6"/>
    </row>
    <row r="43" spans="1:17" ht="13.8">
      <c r="A43" s="16"/>
      <c r="B43" s="18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7" ht="13.8">
      <c r="A44" s="16" t="s">
        <v>37</v>
      </c>
      <c r="B44" s="84">
        <v>1580.2</v>
      </c>
      <c r="C44" s="84">
        <v>1540.1</v>
      </c>
      <c r="D44" s="84">
        <f>F44*1000/C44</f>
        <v>4130.4662034932799</v>
      </c>
      <c r="E44" s="84">
        <v>1968.162</v>
      </c>
      <c r="F44" s="84">
        <v>6361.3310000000001</v>
      </c>
      <c r="G44" s="87">
        <v>107.105</v>
      </c>
      <c r="H44" s="84">
        <f>SUM(E44:G44)</f>
        <v>8436.598</v>
      </c>
      <c r="I44" s="84"/>
      <c r="J44" s="84">
        <v>3313.1</v>
      </c>
      <c r="K44" s="84">
        <v>842.43200000000002</v>
      </c>
      <c r="L44" s="87">
        <f t="shared" ref="L44:L46" si="0">N44-J44-K44-M44</f>
        <v>738.31830540849705</v>
      </c>
      <c r="M44" s="87">
        <v>1182.4906945915034</v>
      </c>
      <c r="N44" s="84">
        <f>H44-O44</f>
        <v>6076.3410000000003</v>
      </c>
      <c r="O44" s="84">
        <v>2360.2570000000001</v>
      </c>
      <c r="P44" s="114"/>
    </row>
    <row r="45" spans="1:17" ht="16.2">
      <c r="A45" s="16" t="s">
        <v>188</v>
      </c>
      <c r="B45" s="84">
        <v>1450.3</v>
      </c>
      <c r="C45" s="84">
        <v>1385.4</v>
      </c>
      <c r="D45" s="84">
        <f>F45*1000/C45</f>
        <v>4019.1641403204849</v>
      </c>
      <c r="E45" s="84">
        <f>O44</f>
        <v>2360.2570000000001</v>
      </c>
      <c r="F45" s="84">
        <v>5568.15</v>
      </c>
      <c r="G45" s="87">
        <v>110</v>
      </c>
      <c r="H45" s="84">
        <f>SUM(E45:G45)</f>
        <v>8038.4069999999992</v>
      </c>
      <c r="I45" s="84"/>
      <c r="J45" s="84">
        <v>3287.3134918856595</v>
      </c>
      <c r="K45" s="84">
        <v>800</v>
      </c>
      <c r="L45" s="87">
        <f t="shared" si="0"/>
        <v>650.19000000000051</v>
      </c>
      <c r="M45" s="87">
        <v>1100</v>
      </c>
      <c r="N45" s="84">
        <f>H45-O45</f>
        <v>5837.50349188566</v>
      </c>
      <c r="O45" s="84">
        <v>2200.9035081143393</v>
      </c>
      <c r="P45" s="114"/>
      <c r="Q45" s="114"/>
    </row>
    <row r="46" spans="1:17" ht="16.2">
      <c r="A46" s="15" t="s">
        <v>187</v>
      </c>
      <c r="B46" s="88">
        <v>1547</v>
      </c>
      <c r="C46" s="88">
        <v>1485.12</v>
      </c>
      <c r="D46" s="88">
        <f>F46*1000/C46</f>
        <v>4228.6145227321704</v>
      </c>
      <c r="E46" s="88">
        <f>O45</f>
        <v>2200.9035081143393</v>
      </c>
      <c r="F46" s="88">
        <v>6280</v>
      </c>
      <c r="G46" s="91">
        <v>115</v>
      </c>
      <c r="H46" s="88">
        <f>SUM(E46:G46)</f>
        <v>8595.9035081143393</v>
      </c>
      <c r="I46" s="88"/>
      <c r="J46" s="88">
        <v>3329.5072105342301</v>
      </c>
      <c r="K46" s="88">
        <v>850</v>
      </c>
      <c r="L46" s="91">
        <f t="shared" si="0"/>
        <v>754.62499999999955</v>
      </c>
      <c r="M46" s="91">
        <v>1300</v>
      </c>
      <c r="N46" s="88">
        <f>H46-O46</f>
        <v>6234.1322105342297</v>
      </c>
      <c r="O46" s="88">
        <v>2361.7712975801096</v>
      </c>
      <c r="P46" s="114"/>
      <c r="Q46" s="114"/>
    </row>
    <row r="47" spans="1:17" ht="16.2">
      <c r="A47" s="49" t="s">
        <v>84</v>
      </c>
      <c r="B47" s="16"/>
      <c r="C47" s="83"/>
      <c r="D47" s="83"/>
      <c r="E47" s="83"/>
      <c r="F47" s="83"/>
      <c r="G47" s="83"/>
      <c r="H47" s="83"/>
      <c r="I47" s="16"/>
      <c r="J47" s="16"/>
      <c r="K47" s="16"/>
      <c r="L47" s="16"/>
      <c r="M47" s="16"/>
      <c r="N47" s="16"/>
      <c r="O47" s="16"/>
    </row>
    <row r="48" spans="1:17" ht="14.4">
      <c r="A48" s="16" t="s">
        <v>183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4.4">
      <c r="A49" s="16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3.8">
      <c r="A50" s="21" t="s">
        <v>56</v>
      </c>
      <c r="B50" s="96">
        <f>Contents!A16</f>
        <v>45062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44.4" customHeight="1">
      <c r="A51" s="97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ht="15.6">
      <c r="G52" s="72"/>
      <c r="H52" s="72"/>
    </row>
    <row r="53" spans="1:15" ht="15.6">
      <c r="G53" s="72"/>
      <c r="H53" s="72"/>
    </row>
    <row r="54" spans="1:15" ht="15.6">
      <c r="G54" s="72"/>
      <c r="H54" s="72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28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5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2" width="18.88671875" bestFit="1" customWidth="1"/>
    <col min="3" max="3" width="22.109375" bestFit="1" customWidth="1"/>
    <col min="4" max="5" width="25.6640625" bestFit="1" customWidth="1"/>
    <col min="6" max="6" width="16.6640625" bestFit="1" customWidth="1"/>
    <col min="7" max="7" width="18.88671875" bestFit="1" customWidth="1"/>
  </cols>
  <sheetData>
    <row r="1" spans="1:7" ht="15.6" customHeight="1">
      <c r="A1" s="15" t="s">
        <v>8</v>
      </c>
      <c r="B1" s="15"/>
      <c r="C1" s="15"/>
      <c r="D1" s="15"/>
      <c r="E1" s="15"/>
      <c r="F1" s="15"/>
      <c r="G1" s="15"/>
    </row>
    <row r="2" spans="1:7" ht="15.6" customHeight="1">
      <c r="A2" s="16" t="s">
        <v>93</v>
      </c>
      <c r="B2" s="18" t="s">
        <v>94</v>
      </c>
      <c r="C2" s="18" t="s">
        <v>95</v>
      </c>
      <c r="D2" s="18" t="s">
        <v>96</v>
      </c>
      <c r="E2" s="18" t="s">
        <v>97</v>
      </c>
      <c r="F2" s="18" t="s">
        <v>98</v>
      </c>
      <c r="G2" s="18" t="s">
        <v>99</v>
      </c>
    </row>
    <row r="3" spans="1:7" ht="15.6" customHeight="1">
      <c r="A3" s="15" t="s">
        <v>100</v>
      </c>
      <c r="B3" s="25"/>
      <c r="C3" s="54"/>
      <c r="D3" s="54"/>
      <c r="E3" s="54"/>
      <c r="F3" s="54"/>
      <c r="G3" s="54"/>
    </row>
    <row r="4" spans="1:7" ht="14.4">
      <c r="A4" s="55"/>
      <c r="B4" s="56" t="s">
        <v>101</v>
      </c>
      <c r="C4" s="56" t="s">
        <v>102</v>
      </c>
      <c r="D4" s="56" t="s">
        <v>103</v>
      </c>
      <c r="E4" s="56" t="s">
        <v>103</v>
      </c>
      <c r="F4" s="56" t="s">
        <v>104</v>
      </c>
      <c r="G4" s="56" t="s">
        <v>101</v>
      </c>
    </row>
    <row r="5" spans="1:7" ht="13.8">
      <c r="A5" s="16"/>
      <c r="B5" s="16"/>
      <c r="C5" s="16"/>
      <c r="D5" s="18"/>
      <c r="E5" s="16"/>
      <c r="F5" s="16"/>
      <c r="G5" s="16"/>
    </row>
    <row r="6" spans="1:7" ht="13.8">
      <c r="A6" s="16" t="s">
        <v>105</v>
      </c>
      <c r="B6" s="57">
        <v>11.3</v>
      </c>
      <c r="C6" s="57">
        <v>161</v>
      </c>
      <c r="D6" s="57">
        <v>23.3</v>
      </c>
      <c r="E6" s="57">
        <v>19.3</v>
      </c>
      <c r="F6" s="57">
        <v>22.5</v>
      </c>
      <c r="G6" s="57">
        <v>12.2</v>
      </c>
    </row>
    <row r="7" spans="1:7" ht="13.8">
      <c r="A7" s="16" t="s">
        <v>106</v>
      </c>
      <c r="B7" s="57">
        <v>12.5</v>
      </c>
      <c r="C7" s="57">
        <v>260</v>
      </c>
      <c r="D7" s="57">
        <v>29.1</v>
      </c>
      <c r="E7" s="57">
        <v>24</v>
      </c>
      <c r="F7" s="57">
        <v>31.8</v>
      </c>
      <c r="G7" s="57">
        <v>13.9</v>
      </c>
    </row>
    <row r="8" spans="1:7" ht="13.8">
      <c r="A8" s="16" t="s">
        <v>107</v>
      </c>
      <c r="B8" s="57">
        <v>14.4</v>
      </c>
      <c r="C8" s="57">
        <v>252</v>
      </c>
      <c r="D8" s="57">
        <v>25.4</v>
      </c>
      <c r="E8" s="57">
        <v>26.5</v>
      </c>
      <c r="F8" s="57">
        <v>30.1</v>
      </c>
      <c r="G8" s="57">
        <v>13.8</v>
      </c>
    </row>
    <row r="9" spans="1:7" ht="13.8">
      <c r="A9" s="16" t="s">
        <v>108</v>
      </c>
      <c r="B9" s="57">
        <v>13</v>
      </c>
      <c r="C9" s="57">
        <v>246</v>
      </c>
      <c r="D9" s="57">
        <v>21.4</v>
      </c>
      <c r="E9" s="57">
        <v>20.6</v>
      </c>
      <c r="F9" s="57">
        <v>24.9</v>
      </c>
      <c r="G9" s="57">
        <v>13.8</v>
      </c>
    </row>
    <row r="10" spans="1:7" ht="13.8">
      <c r="A10" s="16" t="s">
        <v>109</v>
      </c>
      <c r="B10" s="57">
        <v>10.1</v>
      </c>
      <c r="C10" s="57">
        <v>194</v>
      </c>
      <c r="D10" s="57">
        <v>21.7</v>
      </c>
      <c r="E10" s="57">
        <v>16.899999999999999</v>
      </c>
      <c r="F10" s="57">
        <v>22</v>
      </c>
      <c r="G10" s="57">
        <v>11.8</v>
      </c>
    </row>
    <row r="11" spans="1:7" ht="13.8">
      <c r="A11" s="16" t="s">
        <v>110</v>
      </c>
      <c r="B11" s="57">
        <v>8.9499999999999993</v>
      </c>
      <c r="C11" s="57">
        <v>227</v>
      </c>
      <c r="D11" s="57">
        <v>19.600000000000001</v>
      </c>
      <c r="E11" s="57">
        <v>15.6</v>
      </c>
      <c r="F11" s="57">
        <v>19.3</v>
      </c>
      <c r="G11" s="57">
        <v>8.9499999999999993</v>
      </c>
    </row>
    <row r="12" spans="1:7" ht="13.8">
      <c r="A12" s="16" t="s">
        <v>111</v>
      </c>
      <c r="B12" s="57">
        <v>9.4700000000000006</v>
      </c>
      <c r="C12" s="57">
        <v>195</v>
      </c>
      <c r="D12" s="57">
        <v>17.399999999999999</v>
      </c>
      <c r="E12" s="57">
        <v>16.600000000000001</v>
      </c>
      <c r="F12" s="57">
        <v>19.7</v>
      </c>
      <c r="G12" s="57">
        <v>8</v>
      </c>
    </row>
    <row r="13" spans="1:7" ht="13.8">
      <c r="A13" s="16" t="s">
        <v>112</v>
      </c>
      <c r="B13" s="57">
        <v>9.33</v>
      </c>
      <c r="C13" s="57">
        <v>142</v>
      </c>
      <c r="D13" s="57">
        <v>17.2</v>
      </c>
      <c r="E13" s="57">
        <v>17.5</v>
      </c>
      <c r="F13" s="57">
        <v>22.9</v>
      </c>
      <c r="G13" s="57">
        <v>9.5299999999999994</v>
      </c>
    </row>
    <row r="14" spans="1:7" ht="13.8">
      <c r="A14" s="16" t="s">
        <v>113</v>
      </c>
      <c r="B14" s="57">
        <v>8.48</v>
      </c>
      <c r="C14" s="57">
        <v>155</v>
      </c>
      <c r="D14" s="57">
        <v>17.399999999999999</v>
      </c>
      <c r="E14" s="57">
        <v>15.8</v>
      </c>
      <c r="F14" s="57">
        <v>21.5</v>
      </c>
      <c r="G14" s="57">
        <v>9.89</v>
      </c>
    </row>
    <row r="15" spans="1:7" ht="13.8">
      <c r="A15" s="16" t="s">
        <v>114</v>
      </c>
      <c r="B15" s="57">
        <v>8.57</v>
      </c>
      <c r="C15" s="57">
        <v>161</v>
      </c>
      <c r="D15" s="57">
        <v>19.5</v>
      </c>
      <c r="E15" s="57">
        <v>14.8</v>
      </c>
      <c r="F15" s="57">
        <v>20.5</v>
      </c>
      <c r="G15" s="57">
        <v>9.15</v>
      </c>
    </row>
    <row r="16" spans="1:7" ht="13.8">
      <c r="A16" s="16" t="s">
        <v>34</v>
      </c>
      <c r="B16" s="57">
        <v>10.8</v>
      </c>
      <c r="C16" s="57">
        <v>194</v>
      </c>
      <c r="D16" s="57">
        <v>21.3</v>
      </c>
      <c r="E16" s="57">
        <v>18.400000000000002</v>
      </c>
      <c r="F16" s="57">
        <v>21</v>
      </c>
      <c r="G16" s="57">
        <v>11.1</v>
      </c>
    </row>
    <row r="17" spans="1:8" ht="13.8">
      <c r="A17" s="16" t="s">
        <v>37</v>
      </c>
      <c r="B17" s="57">
        <v>13.3</v>
      </c>
      <c r="C17" s="57">
        <v>243</v>
      </c>
      <c r="D17" s="57">
        <v>32.9</v>
      </c>
      <c r="E17" s="57">
        <v>32.9</v>
      </c>
      <c r="F17" s="57">
        <v>24.3</v>
      </c>
      <c r="G17" s="57">
        <v>25.9</v>
      </c>
    </row>
    <row r="18" spans="1:8" ht="16.2">
      <c r="A18" s="16" t="s">
        <v>115</v>
      </c>
      <c r="B18" s="57">
        <v>14.2</v>
      </c>
      <c r="C18" s="57">
        <v>332</v>
      </c>
      <c r="D18" s="57">
        <v>27.2</v>
      </c>
      <c r="E18" s="57">
        <v>30</v>
      </c>
      <c r="F18" s="57">
        <v>27</v>
      </c>
      <c r="G18" s="131">
        <v>17.149999999999999</v>
      </c>
      <c r="H18" s="129"/>
    </row>
    <row r="19" spans="1:8" ht="16.2">
      <c r="A19" s="16" t="s">
        <v>189</v>
      </c>
      <c r="B19" s="57">
        <v>12.1</v>
      </c>
      <c r="C19" s="57">
        <v>279</v>
      </c>
      <c r="D19" s="57">
        <v>25.55</v>
      </c>
      <c r="E19" s="57">
        <v>25</v>
      </c>
      <c r="F19" s="57">
        <v>26.5</v>
      </c>
      <c r="G19" s="131">
        <v>12.5</v>
      </c>
      <c r="H19" s="129"/>
    </row>
    <row r="20" spans="1:8" ht="13.8">
      <c r="A20" s="16"/>
      <c r="B20" s="58"/>
      <c r="C20" s="59"/>
      <c r="D20" s="60"/>
      <c r="E20" s="60"/>
      <c r="F20" s="59"/>
      <c r="G20" s="61"/>
      <c r="H20" s="50"/>
    </row>
    <row r="21" spans="1:8" ht="13.8">
      <c r="A21" s="62" t="s">
        <v>37</v>
      </c>
      <c r="B21" s="57"/>
      <c r="C21" s="57"/>
      <c r="D21" s="57"/>
      <c r="E21" s="57"/>
      <c r="F21" s="57"/>
      <c r="G21" s="57"/>
    </row>
    <row r="22" spans="1:8" ht="13.8">
      <c r="A22" s="16" t="s">
        <v>38</v>
      </c>
      <c r="B22" s="57">
        <v>12.2</v>
      </c>
      <c r="C22" s="57">
        <v>235</v>
      </c>
      <c r="D22" s="57">
        <v>30.7</v>
      </c>
      <c r="E22" s="57">
        <v>28.7</v>
      </c>
      <c r="F22" s="57">
        <v>22.2</v>
      </c>
      <c r="G22" s="57">
        <v>19.8</v>
      </c>
    </row>
    <row r="23" spans="1:8" ht="13.8">
      <c r="A23" s="16" t="s">
        <v>39</v>
      </c>
      <c r="B23" s="57">
        <v>11.9</v>
      </c>
      <c r="C23" s="57">
        <v>244</v>
      </c>
      <c r="D23" s="57">
        <v>30.5</v>
      </c>
      <c r="E23" s="57">
        <v>29.6</v>
      </c>
      <c r="F23" s="57">
        <v>23.9</v>
      </c>
      <c r="G23" s="57">
        <v>26.2</v>
      </c>
    </row>
    <row r="24" spans="1:8" ht="13.8">
      <c r="A24" s="16" t="s">
        <v>40</v>
      </c>
      <c r="B24" s="57">
        <v>12.1</v>
      </c>
      <c r="C24" s="57">
        <v>244</v>
      </c>
      <c r="D24" s="57">
        <v>30.3</v>
      </c>
      <c r="E24" s="57">
        <v>31.7</v>
      </c>
      <c r="F24" s="57">
        <v>25.4</v>
      </c>
      <c r="G24" s="57">
        <v>26.1</v>
      </c>
    </row>
    <row r="25" spans="1:8" ht="13.8">
      <c r="A25" s="16" t="s">
        <v>42</v>
      </c>
      <c r="B25" s="57">
        <v>12.5</v>
      </c>
      <c r="C25" s="57">
        <v>239</v>
      </c>
      <c r="D25" s="57">
        <v>31.6</v>
      </c>
      <c r="E25" s="57">
        <v>32.5</v>
      </c>
      <c r="F25" s="57">
        <v>24.1</v>
      </c>
      <c r="G25" s="57">
        <v>31.3</v>
      </c>
    </row>
    <row r="26" spans="1:8" ht="13.8">
      <c r="A26" s="16" t="s">
        <v>43</v>
      </c>
      <c r="B26" s="57">
        <v>12.9</v>
      </c>
      <c r="C26" s="57">
        <v>241</v>
      </c>
      <c r="D26" s="57">
        <v>31</v>
      </c>
      <c r="E26" s="57">
        <v>33.700000000000003</v>
      </c>
      <c r="F26" s="57">
        <v>25.9</v>
      </c>
      <c r="G26" s="57">
        <v>31</v>
      </c>
    </row>
    <row r="27" spans="1:8" ht="13.8">
      <c r="A27" s="16" t="s">
        <v>44</v>
      </c>
      <c r="B27" s="57">
        <v>14.7</v>
      </c>
      <c r="C27" s="57">
        <v>256</v>
      </c>
      <c r="D27" s="57">
        <v>32.200000000000003</v>
      </c>
      <c r="E27" s="57">
        <v>37.5</v>
      </c>
      <c r="F27" s="57">
        <v>24.8</v>
      </c>
      <c r="G27" s="57">
        <v>27.5</v>
      </c>
    </row>
    <row r="28" spans="1:8" ht="13.8">
      <c r="A28" s="16" t="s">
        <v>46</v>
      </c>
      <c r="B28" s="57">
        <v>15.4</v>
      </c>
      <c r="C28" s="57" t="s">
        <v>75</v>
      </c>
      <c r="D28" s="57">
        <v>33.9</v>
      </c>
      <c r="E28" s="57">
        <v>39.200000000000003</v>
      </c>
      <c r="F28" s="57">
        <v>25</v>
      </c>
      <c r="G28" s="57">
        <v>28.9</v>
      </c>
    </row>
    <row r="29" spans="1:8" ht="13.8">
      <c r="A29" s="16" t="s">
        <v>47</v>
      </c>
      <c r="B29" s="57">
        <v>15.8</v>
      </c>
      <c r="C29" s="57" t="s">
        <v>75</v>
      </c>
      <c r="D29" s="57">
        <v>37.1</v>
      </c>
      <c r="E29" s="57">
        <v>41.3</v>
      </c>
      <c r="F29" s="57">
        <v>24.8</v>
      </c>
      <c r="G29" s="57">
        <v>30.2</v>
      </c>
    </row>
    <row r="30" spans="1:8" ht="13.8">
      <c r="A30" s="16" t="s">
        <v>48</v>
      </c>
      <c r="B30" s="57">
        <v>16.100000000000001</v>
      </c>
      <c r="C30" s="57" t="s">
        <v>75</v>
      </c>
      <c r="D30" s="57">
        <v>40.1</v>
      </c>
      <c r="E30" s="57">
        <v>42.9</v>
      </c>
      <c r="F30" s="57">
        <v>25.3</v>
      </c>
      <c r="G30" s="57">
        <v>29.7</v>
      </c>
    </row>
    <row r="31" spans="1:8" ht="13.8">
      <c r="A31" s="16" t="s">
        <v>50</v>
      </c>
      <c r="B31" s="57">
        <v>16.399999999999999</v>
      </c>
      <c r="C31" s="57" t="s">
        <v>75</v>
      </c>
      <c r="D31" s="57">
        <v>40.200000000000003</v>
      </c>
      <c r="E31" s="57">
        <v>45.6</v>
      </c>
      <c r="F31" s="57">
        <v>25.2</v>
      </c>
      <c r="G31" s="57">
        <v>23.9</v>
      </c>
    </row>
    <row r="32" spans="1:8" ht="13.8">
      <c r="A32" s="16" t="s">
        <v>51</v>
      </c>
      <c r="B32" s="57">
        <v>15.5</v>
      </c>
      <c r="C32" s="57">
        <v>360</v>
      </c>
      <c r="D32" s="57">
        <v>36.200000000000003</v>
      </c>
      <c r="E32" s="57">
        <v>42.7</v>
      </c>
      <c r="F32" s="57">
        <v>25.3</v>
      </c>
      <c r="G32" s="57">
        <v>24.2</v>
      </c>
    </row>
    <row r="33" spans="1:7" ht="13.8">
      <c r="A33" s="16" t="s">
        <v>52</v>
      </c>
      <c r="B33" s="57">
        <f>15.3</f>
        <v>15.3</v>
      </c>
      <c r="C33" s="57">
        <f>343</f>
        <v>343</v>
      </c>
      <c r="D33" s="57">
        <f>37.8</f>
        <v>37.799999999999997</v>
      </c>
      <c r="E33" s="57">
        <f>40</f>
        <v>40</v>
      </c>
      <c r="F33" s="57">
        <f>25</f>
        <v>25</v>
      </c>
      <c r="G33" s="57">
        <f>20.8</f>
        <v>20.8</v>
      </c>
    </row>
    <row r="34" spans="1:7" ht="13.8">
      <c r="A34" s="16"/>
      <c r="B34" s="57"/>
      <c r="C34" s="57"/>
      <c r="D34" s="57"/>
      <c r="E34" s="57"/>
      <c r="F34" s="57"/>
      <c r="G34" s="57"/>
    </row>
    <row r="35" spans="1:7" ht="13.8">
      <c r="A35" s="62" t="s">
        <v>54</v>
      </c>
      <c r="B35" s="57"/>
      <c r="C35" s="57"/>
      <c r="D35" s="57"/>
      <c r="E35" s="57"/>
      <c r="F35" s="57"/>
      <c r="G35" s="57"/>
    </row>
    <row r="36" spans="1:7" ht="13.8">
      <c r="A36" s="16" t="s">
        <v>38</v>
      </c>
      <c r="B36" s="57">
        <v>14.1</v>
      </c>
      <c r="C36" s="57">
        <v>361</v>
      </c>
      <c r="D36" s="57">
        <v>32.9</v>
      </c>
      <c r="E36" s="57">
        <v>28.1</v>
      </c>
      <c r="F36" s="57">
        <v>25.7</v>
      </c>
      <c r="G36" s="57">
        <v>18.899999999999999</v>
      </c>
    </row>
    <row r="37" spans="1:7" ht="13.8">
      <c r="A37" s="16" t="s">
        <v>39</v>
      </c>
      <c r="B37" s="57">
        <v>13.5</v>
      </c>
      <c r="C37" s="57">
        <v>338</v>
      </c>
      <c r="D37" s="57">
        <v>29.3</v>
      </c>
      <c r="E37" s="57">
        <v>28.1</v>
      </c>
      <c r="F37" s="57">
        <v>26.6</v>
      </c>
      <c r="G37" s="57">
        <v>18.600000000000001</v>
      </c>
    </row>
    <row r="38" spans="1:7" ht="13.8">
      <c r="A38" s="16" t="s">
        <v>40</v>
      </c>
      <c r="B38" s="57">
        <v>14</v>
      </c>
      <c r="C38" s="57">
        <v>323</v>
      </c>
      <c r="D38" s="57">
        <v>28.4</v>
      </c>
      <c r="E38" s="57">
        <v>29.2</v>
      </c>
      <c r="F38" s="57">
        <v>29.9</v>
      </c>
      <c r="G38" s="57">
        <v>19.5</v>
      </c>
    </row>
    <row r="39" spans="1:7" ht="13.8">
      <c r="A39" s="16" t="s">
        <v>42</v>
      </c>
      <c r="B39" s="57">
        <v>14.4</v>
      </c>
      <c r="C39" s="57">
        <v>329</v>
      </c>
      <c r="D39" s="57">
        <v>29.5</v>
      </c>
      <c r="E39" s="57">
        <v>29.2</v>
      </c>
      <c r="F39" s="57">
        <v>24.1</v>
      </c>
      <c r="G39" s="57">
        <v>18.399999999999999</v>
      </c>
    </row>
    <row r="40" spans="1:7" ht="13.8">
      <c r="A40" s="16" t="s">
        <v>43</v>
      </c>
      <c r="B40" s="57">
        <v>14.5</v>
      </c>
      <c r="C40" s="57">
        <v>316</v>
      </c>
      <c r="D40" s="57">
        <v>28.5</v>
      </c>
      <c r="E40" s="57">
        <v>30.1</v>
      </c>
      <c r="F40" s="57">
        <v>27.9</v>
      </c>
      <c r="G40" s="57">
        <v>17.7</v>
      </c>
    </row>
    <row r="41" spans="1:7" ht="13.8">
      <c r="A41" s="16" t="s">
        <v>44</v>
      </c>
      <c r="B41" s="57">
        <v>15.1</v>
      </c>
      <c r="C41" s="57">
        <v>332</v>
      </c>
      <c r="D41" s="57">
        <v>30.8</v>
      </c>
      <c r="E41" s="57">
        <v>30.7</v>
      </c>
      <c r="F41" s="57">
        <v>27.2</v>
      </c>
      <c r="G41" s="57">
        <v>16.2</v>
      </c>
    </row>
    <row r="42" spans="1:7" ht="13.8">
      <c r="A42" s="15" t="s">
        <v>46</v>
      </c>
      <c r="B42" s="14">
        <v>14.9</v>
      </c>
      <c r="C42" s="14" t="s">
        <v>75</v>
      </c>
      <c r="D42" s="14">
        <v>26.9</v>
      </c>
      <c r="E42" s="14">
        <v>30.9</v>
      </c>
      <c r="F42" s="14">
        <v>26.9</v>
      </c>
      <c r="G42" s="14">
        <v>14.8</v>
      </c>
    </row>
    <row r="43" spans="1:7" ht="16.2">
      <c r="A43" s="16" t="s">
        <v>116</v>
      </c>
      <c r="B43" s="16"/>
      <c r="C43" s="16"/>
      <c r="D43" s="16"/>
      <c r="E43" s="16"/>
      <c r="F43" s="16"/>
      <c r="G43" s="16"/>
    </row>
    <row r="44" spans="1:7" ht="14.4">
      <c r="A44" s="16" t="s">
        <v>117</v>
      </c>
      <c r="B44" s="16"/>
      <c r="C44" s="16"/>
      <c r="D44" s="16"/>
      <c r="E44" s="16"/>
      <c r="F44" s="16"/>
      <c r="G44" s="16"/>
    </row>
    <row r="45" spans="1:7" ht="13.8">
      <c r="A45" s="21" t="s">
        <v>56</v>
      </c>
      <c r="B45" s="43">
        <f>Contents!A16</f>
        <v>45062</v>
      </c>
      <c r="C45" s="16"/>
      <c r="D45" s="16"/>
      <c r="E45" s="16"/>
      <c r="F45" s="16"/>
      <c r="G45" s="16"/>
    </row>
  </sheetData>
  <phoneticPr fontId="28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6"/>
  <sheetViews>
    <sheetView showGridLines="0" zoomScale="70" zoomScaleNormal="70" workbookViewId="0"/>
  </sheetViews>
  <sheetFormatPr defaultColWidth="9.109375" defaultRowHeight="13.2"/>
  <cols>
    <col min="1" max="2" width="11.6640625" customWidth="1"/>
    <col min="3" max="3" width="11.5546875" customWidth="1"/>
    <col min="4" max="4" width="13.6640625" customWidth="1"/>
    <col min="5" max="5" width="11.6640625" customWidth="1"/>
    <col min="6" max="6" width="11.5546875" bestFit="1" customWidth="1"/>
    <col min="7" max="7" width="10.6640625" customWidth="1"/>
    <col min="8" max="8" width="12" customWidth="1"/>
    <col min="9" max="9" width="13.44140625" customWidth="1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6"/>
    </row>
    <row r="2" spans="1:12" ht="15.6" customHeight="1">
      <c r="A2" s="63" t="s">
        <v>93</v>
      </c>
      <c r="B2" s="18" t="s">
        <v>118</v>
      </c>
      <c r="C2" s="18" t="s">
        <v>119</v>
      </c>
      <c r="D2" s="18" t="s">
        <v>120</v>
      </c>
      <c r="E2" s="64" t="s">
        <v>121</v>
      </c>
      <c r="F2" s="64" t="s">
        <v>122</v>
      </c>
      <c r="G2" s="18" t="s">
        <v>123</v>
      </c>
      <c r="H2" s="18" t="s">
        <v>124</v>
      </c>
      <c r="I2" s="65" t="s">
        <v>125</v>
      </c>
    </row>
    <row r="3" spans="1:12" ht="15.6" customHeight="1">
      <c r="A3" s="66" t="s">
        <v>100</v>
      </c>
      <c r="B3" s="24" t="s">
        <v>126</v>
      </c>
      <c r="C3" s="24" t="s">
        <v>127</v>
      </c>
      <c r="D3" s="24" t="s">
        <v>128</v>
      </c>
      <c r="E3" s="24" t="s">
        <v>128</v>
      </c>
      <c r="F3" s="24" t="s">
        <v>129</v>
      </c>
      <c r="G3" s="24" t="s">
        <v>130</v>
      </c>
      <c r="H3" s="24"/>
      <c r="I3" s="24" t="s">
        <v>131</v>
      </c>
    </row>
    <row r="4" spans="1:12" ht="14.4">
      <c r="A4" s="67" t="s">
        <v>132</v>
      </c>
      <c r="C4" s="68"/>
      <c r="D4" s="68"/>
      <c r="E4" s="68"/>
      <c r="F4" s="68"/>
      <c r="G4" s="68"/>
      <c r="H4" s="68"/>
      <c r="I4" s="68"/>
    </row>
    <row r="5" spans="1:12" ht="13.8">
      <c r="A5" s="16"/>
      <c r="B5" s="16"/>
      <c r="C5" s="16"/>
      <c r="D5" s="16"/>
      <c r="E5" s="16"/>
      <c r="F5" s="16"/>
      <c r="G5" s="16"/>
      <c r="H5" s="16"/>
      <c r="I5" s="16"/>
    </row>
    <row r="6" spans="1:12" ht="13.8">
      <c r="A6" s="16" t="s">
        <v>105</v>
      </c>
      <c r="B6" s="57">
        <v>53.2</v>
      </c>
      <c r="C6" s="57">
        <v>54.5</v>
      </c>
      <c r="D6" s="57">
        <v>86.12</v>
      </c>
      <c r="E6" s="57">
        <v>58.68</v>
      </c>
      <c r="F6" s="57">
        <v>77.239999999999995</v>
      </c>
      <c r="G6" s="57">
        <v>60.76</v>
      </c>
      <c r="H6" s="57">
        <v>51.52</v>
      </c>
      <c r="I6" s="57">
        <v>51.34</v>
      </c>
      <c r="K6" s="73"/>
      <c r="L6" s="73"/>
    </row>
    <row r="7" spans="1:12" ht="13.8">
      <c r="A7" s="16" t="s">
        <v>106</v>
      </c>
      <c r="B7" s="57">
        <v>51.9</v>
      </c>
      <c r="C7" s="57">
        <v>53.22</v>
      </c>
      <c r="D7" s="57">
        <v>83.2</v>
      </c>
      <c r="E7" s="57">
        <v>57.19</v>
      </c>
      <c r="F7" s="57">
        <v>100.15</v>
      </c>
      <c r="G7" s="57">
        <v>56.09</v>
      </c>
      <c r="H7" s="57">
        <v>48.11</v>
      </c>
      <c r="I7" s="57">
        <v>50.33</v>
      </c>
      <c r="K7" s="73"/>
      <c r="L7" s="73"/>
    </row>
    <row r="8" spans="1:12" ht="13.8">
      <c r="A8" s="16" t="s">
        <v>107</v>
      </c>
      <c r="B8" s="57">
        <v>47.13</v>
      </c>
      <c r="C8" s="57">
        <v>48.6</v>
      </c>
      <c r="D8" s="57">
        <v>65.87</v>
      </c>
      <c r="E8" s="57">
        <v>56.17</v>
      </c>
      <c r="F8" s="57">
        <v>91.83</v>
      </c>
      <c r="G8" s="57">
        <v>46.66</v>
      </c>
      <c r="H8" s="57">
        <v>51.8</v>
      </c>
      <c r="I8" s="57">
        <v>43.24</v>
      </c>
      <c r="K8" s="73"/>
      <c r="L8" s="73"/>
    </row>
    <row r="9" spans="1:12" ht="13.8">
      <c r="A9" s="16" t="s">
        <v>108</v>
      </c>
      <c r="B9" s="57">
        <v>38.229999999999997</v>
      </c>
      <c r="C9" s="57">
        <v>60.66</v>
      </c>
      <c r="D9" s="57">
        <v>59.12</v>
      </c>
      <c r="E9" s="57">
        <v>43.7</v>
      </c>
      <c r="F9" s="57">
        <v>68.23</v>
      </c>
      <c r="G9" s="57">
        <v>39.43</v>
      </c>
      <c r="H9" s="57">
        <v>43.93</v>
      </c>
      <c r="I9" s="57">
        <v>39.76</v>
      </c>
      <c r="K9" s="73"/>
      <c r="L9" s="73"/>
    </row>
    <row r="10" spans="1:12" ht="13.8">
      <c r="A10" s="16" t="s">
        <v>109</v>
      </c>
      <c r="B10" s="57">
        <v>31.6</v>
      </c>
      <c r="C10" s="57">
        <v>45.74</v>
      </c>
      <c r="D10" s="57">
        <v>66.72</v>
      </c>
      <c r="E10" s="57">
        <v>37.81</v>
      </c>
      <c r="F10" s="57">
        <v>57.96</v>
      </c>
      <c r="G10" s="57">
        <v>37.479999999999997</v>
      </c>
      <c r="H10" s="57">
        <v>33.43</v>
      </c>
      <c r="I10" s="57">
        <v>31.36</v>
      </c>
      <c r="K10" s="73"/>
      <c r="L10" s="73"/>
    </row>
    <row r="11" spans="1:12" ht="13.8">
      <c r="A11" s="16" t="s">
        <v>110</v>
      </c>
      <c r="B11" s="57">
        <v>29.86</v>
      </c>
      <c r="C11" s="57">
        <v>45.87</v>
      </c>
      <c r="D11" s="57">
        <v>57.81</v>
      </c>
      <c r="E11" s="57">
        <v>35.270000000000003</v>
      </c>
      <c r="F11" s="57">
        <v>58.26</v>
      </c>
      <c r="G11" s="57">
        <v>39.25</v>
      </c>
      <c r="H11" s="57">
        <v>32.229999999999997</v>
      </c>
      <c r="I11" s="57">
        <v>30.07</v>
      </c>
      <c r="K11" s="73"/>
      <c r="L11" s="73"/>
    </row>
    <row r="12" spans="1:12" ht="13.8">
      <c r="A12" s="16" t="s">
        <v>111</v>
      </c>
      <c r="B12" s="57">
        <v>32.549999999999997</v>
      </c>
      <c r="C12" s="57">
        <v>40.92</v>
      </c>
      <c r="D12" s="57">
        <v>53.54</v>
      </c>
      <c r="E12" s="57">
        <v>38.729999999999997</v>
      </c>
      <c r="F12" s="57">
        <v>66.73</v>
      </c>
      <c r="G12" s="57">
        <v>37.43</v>
      </c>
      <c r="H12" s="57">
        <v>33.07</v>
      </c>
      <c r="I12" s="57">
        <v>34.75</v>
      </c>
      <c r="K12" s="73"/>
      <c r="L12" s="73"/>
    </row>
    <row r="13" spans="1:12" ht="13.8">
      <c r="A13" s="16" t="s">
        <v>112</v>
      </c>
      <c r="B13" s="57">
        <v>30.04</v>
      </c>
      <c r="C13" s="57">
        <v>31.87</v>
      </c>
      <c r="D13" s="57">
        <v>54.57</v>
      </c>
      <c r="E13" s="57">
        <v>38.270000000000003</v>
      </c>
      <c r="F13" s="57">
        <v>66.72</v>
      </c>
      <c r="G13" s="57">
        <v>30.35</v>
      </c>
      <c r="H13" s="57">
        <v>34.159999999999997</v>
      </c>
      <c r="I13" s="57">
        <v>31.21</v>
      </c>
      <c r="K13" s="73"/>
      <c r="L13" s="73"/>
    </row>
    <row r="14" spans="1:12" ht="13.8">
      <c r="A14" s="16" t="s">
        <v>113</v>
      </c>
      <c r="B14" s="57">
        <v>28.26</v>
      </c>
      <c r="C14" s="57">
        <v>35.14</v>
      </c>
      <c r="D14" s="57">
        <v>53.28</v>
      </c>
      <c r="E14" s="57">
        <v>36.090000000000003</v>
      </c>
      <c r="F14" s="57">
        <v>64.72</v>
      </c>
      <c r="G14" s="57">
        <v>26.93</v>
      </c>
      <c r="H14" s="57">
        <v>31.65</v>
      </c>
      <c r="I14" s="57">
        <v>33.11</v>
      </c>
      <c r="K14" s="73"/>
      <c r="L14" s="73"/>
    </row>
    <row r="15" spans="1:12" ht="13.8">
      <c r="A15" s="16" t="s">
        <v>114</v>
      </c>
      <c r="B15" s="57">
        <v>29.65</v>
      </c>
      <c r="C15" s="57">
        <v>40.18</v>
      </c>
      <c r="D15" s="57">
        <v>65.03</v>
      </c>
      <c r="E15" s="57">
        <v>37.869999999999997</v>
      </c>
      <c r="F15" s="57">
        <v>62</v>
      </c>
      <c r="G15" s="57">
        <v>39.47</v>
      </c>
      <c r="H15" s="57">
        <v>35.75</v>
      </c>
      <c r="I15" s="57">
        <v>38.369999999999997</v>
      </c>
      <c r="K15" s="73"/>
      <c r="L15" s="73"/>
    </row>
    <row r="16" spans="1:12" ht="13.8">
      <c r="A16" s="16" t="s">
        <v>34</v>
      </c>
      <c r="B16" s="57">
        <v>56.87</v>
      </c>
      <c r="C16" s="57">
        <v>80.94</v>
      </c>
      <c r="D16" s="57">
        <v>79</v>
      </c>
      <c r="E16" s="57">
        <v>70.459999999999994</v>
      </c>
      <c r="F16" s="57">
        <v>101.4</v>
      </c>
      <c r="G16" s="57">
        <v>53.88</v>
      </c>
      <c r="H16" s="57">
        <v>55.89</v>
      </c>
      <c r="I16" s="57">
        <v>54.98</v>
      </c>
      <c r="K16" s="73"/>
      <c r="L16" s="73"/>
    </row>
    <row r="17" spans="1:12" ht="13.8">
      <c r="A17" s="16" t="s">
        <v>37</v>
      </c>
      <c r="B17" s="57">
        <v>72.98</v>
      </c>
      <c r="C17" s="57">
        <v>107.15</v>
      </c>
      <c r="D17" s="57">
        <v>111.39</v>
      </c>
      <c r="E17" s="57">
        <v>90.52</v>
      </c>
      <c r="F17" s="57">
        <v>106.98</v>
      </c>
      <c r="G17" s="57">
        <v>64.28</v>
      </c>
      <c r="H17" s="57">
        <v>82</v>
      </c>
      <c r="I17" s="57">
        <v>81.84</v>
      </c>
      <c r="J17" s="106"/>
      <c r="K17" s="73"/>
      <c r="L17" s="73"/>
    </row>
    <row r="18" spans="1:12" ht="16.2">
      <c r="A18" s="16" t="s">
        <v>133</v>
      </c>
      <c r="B18" s="57">
        <v>64</v>
      </c>
      <c r="C18" s="57">
        <v>99.2</v>
      </c>
      <c r="D18" s="57">
        <v>80</v>
      </c>
      <c r="E18" s="57">
        <v>68</v>
      </c>
      <c r="F18" s="57">
        <v>99</v>
      </c>
      <c r="G18" s="57">
        <v>60</v>
      </c>
      <c r="H18" s="57">
        <v>82</v>
      </c>
      <c r="I18" s="57">
        <v>77</v>
      </c>
      <c r="J18" s="106"/>
      <c r="K18" s="73"/>
      <c r="L18" s="73"/>
    </row>
    <row r="19" spans="1:12" ht="16.2">
      <c r="A19" s="16" t="s">
        <v>190</v>
      </c>
      <c r="B19" s="57">
        <v>58</v>
      </c>
      <c r="C19" s="57">
        <v>75</v>
      </c>
      <c r="D19" s="57">
        <v>80</v>
      </c>
      <c r="E19" s="57">
        <v>61</v>
      </c>
      <c r="F19" s="57">
        <v>93</v>
      </c>
      <c r="G19" s="57">
        <v>58</v>
      </c>
      <c r="H19" s="57">
        <v>80</v>
      </c>
      <c r="I19" s="57">
        <v>75</v>
      </c>
      <c r="J19" s="106"/>
      <c r="K19" s="73"/>
      <c r="L19" s="73"/>
    </row>
    <row r="20" spans="1:12" ht="13.8">
      <c r="A20" s="16"/>
      <c r="B20" s="69"/>
      <c r="C20" s="69"/>
      <c r="D20" s="69"/>
      <c r="E20" s="69"/>
      <c r="F20" s="69"/>
      <c r="G20" s="69"/>
      <c r="H20" s="69"/>
      <c r="I20" s="69"/>
    </row>
    <row r="21" spans="1:12" ht="13.8">
      <c r="A21" s="36" t="s">
        <v>37</v>
      </c>
      <c r="B21" s="57"/>
      <c r="C21" s="57"/>
      <c r="D21" s="57"/>
      <c r="E21" s="57"/>
      <c r="F21" s="57"/>
      <c r="G21" s="57"/>
      <c r="H21" s="57"/>
      <c r="I21" s="57"/>
      <c r="L21" s="106"/>
    </row>
    <row r="22" spans="1:12" ht="13.8">
      <c r="A22" s="16" t="s">
        <v>39</v>
      </c>
      <c r="B22" s="57">
        <v>70.42</v>
      </c>
      <c r="C22" s="57">
        <v>98.5</v>
      </c>
      <c r="D22" s="57">
        <v>129</v>
      </c>
      <c r="E22" s="57">
        <v>82.3</v>
      </c>
      <c r="F22" s="57">
        <v>101.5</v>
      </c>
      <c r="G22" s="57">
        <v>57.069999999999993</v>
      </c>
      <c r="H22" s="57" t="s">
        <v>75</v>
      </c>
      <c r="I22" s="57" t="s">
        <v>75</v>
      </c>
      <c r="K22" s="109"/>
      <c r="L22" s="108"/>
    </row>
    <row r="23" spans="1:12" ht="13.8">
      <c r="A23" s="16" t="s">
        <v>40</v>
      </c>
      <c r="B23" s="57">
        <v>66.459999999999994</v>
      </c>
      <c r="C23" s="57">
        <v>96.75</v>
      </c>
      <c r="D23" s="57">
        <v>125</v>
      </c>
      <c r="E23" s="57">
        <v>84.375</v>
      </c>
      <c r="F23" s="57">
        <v>100</v>
      </c>
      <c r="G23" s="57">
        <v>57.918000000000006</v>
      </c>
      <c r="H23" s="57" t="s">
        <v>75</v>
      </c>
      <c r="I23" s="57">
        <v>80.06</v>
      </c>
      <c r="K23" s="109"/>
      <c r="L23" s="109"/>
    </row>
    <row r="24" spans="1:12" ht="13.8">
      <c r="A24" s="16" t="s">
        <v>42</v>
      </c>
      <c r="B24" s="57">
        <v>63.69</v>
      </c>
      <c r="C24" s="57">
        <v>93.3</v>
      </c>
      <c r="D24" s="57">
        <v>125</v>
      </c>
      <c r="E24" s="57">
        <v>82.95</v>
      </c>
      <c r="F24" s="57">
        <v>100</v>
      </c>
      <c r="G24" s="57">
        <v>56.093333333333334</v>
      </c>
      <c r="H24" s="57" t="s">
        <v>75</v>
      </c>
      <c r="I24" s="57">
        <v>73</v>
      </c>
      <c r="K24" s="109"/>
      <c r="L24" s="109"/>
    </row>
    <row r="25" spans="1:12" ht="13.8">
      <c r="A25" s="16" t="s">
        <v>43</v>
      </c>
      <c r="B25" s="57">
        <v>65.7</v>
      </c>
      <c r="C25" s="57">
        <v>97.9375</v>
      </c>
      <c r="D25" s="57">
        <v>123.125</v>
      </c>
      <c r="E25" s="57">
        <v>88.5625</v>
      </c>
      <c r="F25" s="57">
        <v>103.125</v>
      </c>
      <c r="G25" s="57">
        <v>54.09</v>
      </c>
      <c r="H25" s="57" t="s">
        <v>75</v>
      </c>
      <c r="I25" s="57">
        <v>76.5</v>
      </c>
      <c r="K25" s="109"/>
    </row>
    <row r="26" spans="1:12" ht="13.8">
      <c r="A26" s="16" t="s">
        <v>44</v>
      </c>
      <c r="B26" s="57">
        <v>70.91</v>
      </c>
      <c r="C26" s="57">
        <v>101.375</v>
      </c>
      <c r="D26" s="57">
        <v>115.33333333333333</v>
      </c>
      <c r="E26" s="57">
        <v>85.875</v>
      </c>
      <c r="F26" s="57">
        <v>105</v>
      </c>
      <c r="G26" s="57">
        <v>59.29</v>
      </c>
      <c r="H26" s="57">
        <v>82</v>
      </c>
      <c r="I26" s="57">
        <v>80</v>
      </c>
    </row>
    <row r="27" spans="1:12" ht="13.8">
      <c r="A27" s="16" t="s">
        <v>46</v>
      </c>
      <c r="B27" s="57">
        <v>76.405000000000001</v>
      </c>
      <c r="C27" s="57">
        <v>114.875</v>
      </c>
      <c r="D27" s="57">
        <v>129</v>
      </c>
      <c r="E27" s="57">
        <v>92</v>
      </c>
      <c r="F27" s="57">
        <v>107.5</v>
      </c>
      <c r="G27" s="57">
        <v>67.1875</v>
      </c>
      <c r="H27" s="57" t="s">
        <v>75</v>
      </c>
      <c r="I27" s="57">
        <v>81.5</v>
      </c>
    </row>
    <row r="28" spans="1:12" ht="13.8">
      <c r="A28" s="16" t="s">
        <v>47</v>
      </c>
      <c r="B28" s="57">
        <v>83.846000000000004</v>
      </c>
      <c r="C28" s="57">
        <v>120.05</v>
      </c>
      <c r="D28" s="57">
        <v>120.4</v>
      </c>
      <c r="E28" s="57">
        <v>103.15</v>
      </c>
      <c r="F28" s="57">
        <v>115</v>
      </c>
      <c r="G28" s="57">
        <v>71.55</v>
      </c>
      <c r="H28" s="57" t="s">
        <v>75</v>
      </c>
      <c r="I28" s="57">
        <v>83.125</v>
      </c>
    </row>
    <row r="29" spans="1:12" ht="13.8">
      <c r="A29" s="16" t="s">
        <v>48</v>
      </c>
      <c r="B29" s="57">
        <v>87.385000000000005</v>
      </c>
      <c r="C29" s="57">
        <v>119.5625</v>
      </c>
      <c r="D29" s="57">
        <v>113.5</v>
      </c>
      <c r="E29" s="57">
        <v>108.6875</v>
      </c>
      <c r="F29" s="57">
        <v>116.25</v>
      </c>
      <c r="G29" s="57">
        <v>77.802499999999995</v>
      </c>
      <c r="H29" s="57" t="s">
        <v>75</v>
      </c>
      <c r="I29" s="57">
        <v>84.25</v>
      </c>
    </row>
    <row r="30" spans="1:12" ht="13.8">
      <c r="A30" s="16" t="s">
        <v>50</v>
      </c>
      <c r="B30" s="57">
        <v>80.297499999999999</v>
      </c>
      <c r="C30" s="57">
        <v>115.75</v>
      </c>
      <c r="D30" s="57">
        <v>97.75</v>
      </c>
      <c r="E30" s="57">
        <v>102.25</v>
      </c>
      <c r="F30" s="57">
        <v>116.25</v>
      </c>
      <c r="G30" s="57">
        <v>76.375</v>
      </c>
      <c r="H30" s="57" t="s">
        <v>75</v>
      </c>
      <c r="I30" s="57">
        <v>86.5</v>
      </c>
    </row>
    <row r="31" spans="1:12" ht="13.8">
      <c r="A31" s="16" t="s">
        <v>51</v>
      </c>
      <c r="B31" s="57">
        <v>67.74799999999999</v>
      </c>
      <c r="C31" s="57">
        <v>100.8</v>
      </c>
      <c r="D31" s="57">
        <v>78.2</v>
      </c>
      <c r="E31" s="57">
        <v>87.9</v>
      </c>
      <c r="F31" s="57">
        <v>103.2</v>
      </c>
      <c r="G31" s="57">
        <v>62.25</v>
      </c>
      <c r="H31" s="57" t="s">
        <v>75</v>
      </c>
      <c r="I31" s="57">
        <v>81.5</v>
      </c>
    </row>
    <row r="32" spans="1:12" ht="13.8">
      <c r="A32" s="16" t="s">
        <v>52</v>
      </c>
      <c r="B32" s="57">
        <v>72.334999999999994</v>
      </c>
      <c r="C32" s="57">
        <v>113.75</v>
      </c>
      <c r="D32" s="57">
        <v>92</v>
      </c>
      <c r="E32" s="57">
        <v>91.3125</v>
      </c>
      <c r="F32" s="57">
        <v>107.25</v>
      </c>
      <c r="G32" s="57">
        <v>65.4375</v>
      </c>
      <c r="H32" s="57" t="s">
        <v>75</v>
      </c>
      <c r="I32" s="57" t="s">
        <v>75</v>
      </c>
    </row>
    <row r="33" spans="1:12" ht="13.8">
      <c r="A33" s="16" t="s">
        <v>38</v>
      </c>
      <c r="B33" s="57">
        <v>70.626000000000005</v>
      </c>
      <c r="C33" s="57">
        <v>113.2</v>
      </c>
      <c r="D33" s="57">
        <v>88.4</v>
      </c>
      <c r="E33" s="57">
        <v>76.849999999999994</v>
      </c>
      <c r="F33" s="57">
        <v>111.6</v>
      </c>
      <c r="G33" s="57">
        <v>66.263999999999996</v>
      </c>
      <c r="H33" s="57" t="s">
        <v>75</v>
      </c>
      <c r="I33" s="57">
        <v>92</v>
      </c>
      <c r="K33" s="73"/>
      <c r="L33" s="73"/>
    </row>
    <row r="34" spans="1:12" ht="13.8">
      <c r="A34" s="16"/>
      <c r="B34" s="57"/>
      <c r="C34" s="57"/>
      <c r="D34" s="57"/>
      <c r="E34" s="57"/>
      <c r="F34" s="57"/>
      <c r="G34" s="57"/>
      <c r="H34" s="57"/>
      <c r="I34" s="57"/>
      <c r="K34" s="73"/>
      <c r="L34" s="73"/>
    </row>
    <row r="35" spans="1:12" ht="13.8">
      <c r="A35" s="36" t="s">
        <v>54</v>
      </c>
      <c r="B35" s="57"/>
      <c r="C35" s="57"/>
      <c r="D35" s="57"/>
      <c r="E35" s="57"/>
      <c r="F35" s="57"/>
      <c r="G35" s="57"/>
      <c r="H35" s="57"/>
      <c r="I35" s="57"/>
      <c r="K35" s="73"/>
      <c r="L35" s="73"/>
    </row>
    <row r="36" spans="1:12" ht="13.8">
      <c r="A36" s="16" t="s">
        <v>39</v>
      </c>
      <c r="B36" s="57">
        <v>72.67</v>
      </c>
      <c r="C36" s="57">
        <v>110.1875</v>
      </c>
      <c r="D36" s="57">
        <v>93.75</v>
      </c>
      <c r="E36" s="57">
        <v>80.125</v>
      </c>
      <c r="F36" s="57">
        <v>107.75</v>
      </c>
      <c r="G36" s="57">
        <v>65.412499999999994</v>
      </c>
      <c r="H36" s="57">
        <v>88</v>
      </c>
      <c r="I36" s="57">
        <v>88.5</v>
      </c>
      <c r="K36" s="73"/>
      <c r="L36" s="73"/>
    </row>
    <row r="37" spans="1:12" ht="13.8">
      <c r="A37" s="16" t="s">
        <v>40</v>
      </c>
      <c r="B37" s="57">
        <v>79.180000000000007</v>
      </c>
      <c r="C37" s="57">
        <v>116.6875</v>
      </c>
      <c r="D37" s="57">
        <v>106</v>
      </c>
      <c r="E37" s="57">
        <v>84.375</v>
      </c>
      <c r="F37" s="57">
        <v>111</v>
      </c>
      <c r="G37" s="57">
        <v>69.67</v>
      </c>
      <c r="H37" s="57" t="s">
        <v>75</v>
      </c>
      <c r="I37" s="57">
        <v>88.5</v>
      </c>
      <c r="K37" s="73"/>
      <c r="L37" s="73"/>
    </row>
    <row r="38" spans="1:12" ht="13.8">
      <c r="A38" s="16" t="s">
        <v>42</v>
      </c>
      <c r="B38" s="57">
        <v>68.14</v>
      </c>
      <c r="C38" s="57">
        <v>105.1</v>
      </c>
      <c r="D38" s="57">
        <v>92.3</v>
      </c>
      <c r="E38" s="57">
        <v>74.05</v>
      </c>
      <c r="F38" s="57">
        <v>101</v>
      </c>
      <c r="G38" s="57">
        <v>60</v>
      </c>
      <c r="H38" s="57" t="s">
        <v>75</v>
      </c>
      <c r="I38" s="57">
        <v>84</v>
      </c>
      <c r="K38" s="73"/>
      <c r="L38" s="73"/>
    </row>
    <row r="39" spans="1:12" ht="13.8">
      <c r="A39" s="16" t="s">
        <v>43</v>
      </c>
      <c r="B39" s="57">
        <v>66</v>
      </c>
      <c r="C39" s="57">
        <v>102.1875</v>
      </c>
      <c r="D39" s="57">
        <v>85.75</v>
      </c>
      <c r="E39" s="57">
        <v>71.1875</v>
      </c>
      <c r="F39" s="57">
        <v>95.375</v>
      </c>
      <c r="G39" s="57">
        <v>61</v>
      </c>
      <c r="H39" s="57">
        <v>87</v>
      </c>
      <c r="I39" s="57">
        <v>76.125</v>
      </c>
      <c r="K39" s="73"/>
      <c r="L39" s="73"/>
    </row>
    <row r="40" spans="1:12" ht="13.8">
      <c r="A40" s="16" t="s">
        <v>44</v>
      </c>
      <c r="B40" s="57">
        <v>63.242500000000007</v>
      </c>
      <c r="C40" s="57">
        <v>100</v>
      </c>
      <c r="D40" s="57">
        <v>81.25</v>
      </c>
      <c r="E40" s="57">
        <v>68.25</v>
      </c>
      <c r="F40" s="57">
        <v>88</v>
      </c>
      <c r="G40" s="57" t="s">
        <v>75</v>
      </c>
      <c r="H40" s="57" t="s">
        <v>75</v>
      </c>
      <c r="I40" s="57">
        <v>63.95</v>
      </c>
      <c r="K40" s="73"/>
      <c r="L40" s="73"/>
    </row>
    <row r="41" spans="1:12" ht="13.8">
      <c r="A41" s="16" t="s">
        <v>46</v>
      </c>
      <c r="B41" s="57">
        <v>58.83</v>
      </c>
      <c r="C41" s="57">
        <v>96.55</v>
      </c>
      <c r="D41" s="57">
        <v>76.599999999999994</v>
      </c>
      <c r="E41" s="57">
        <v>64.599999999999994</v>
      </c>
      <c r="F41" s="57">
        <v>84.4</v>
      </c>
      <c r="G41" s="57" t="s">
        <v>75</v>
      </c>
      <c r="H41" s="57" t="s">
        <v>75</v>
      </c>
      <c r="I41" s="57">
        <v>66.25</v>
      </c>
      <c r="K41" s="73"/>
      <c r="L41" s="73"/>
    </row>
    <row r="42" spans="1:12" ht="13.8">
      <c r="A42" s="15" t="s">
        <v>47</v>
      </c>
      <c r="B42" s="14">
        <v>55.474999999999994</v>
      </c>
      <c r="C42" s="14">
        <v>92.5625</v>
      </c>
      <c r="D42" s="14">
        <v>73</v>
      </c>
      <c r="E42" s="14">
        <v>62.625</v>
      </c>
      <c r="F42" s="14">
        <v>81.75</v>
      </c>
      <c r="G42" s="14" t="s">
        <v>75</v>
      </c>
      <c r="H42" s="14">
        <v>82</v>
      </c>
      <c r="I42" s="14" t="s">
        <v>75</v>
      </c>
      <c r="K42" s="73"/>
      <c r="L42" s="73"/>
    </row>
    <row r="43" spans="1:12" ht="16.2">
      <c r="A43" s="49" t="s">
        <v>134</v>
      </c>
      <c r="B43" s="71"/>
      <c r="C43" s="71"/>
      <c r="D43" s="71"/>
      <c r="E43" s="71"/>
      <c r="F43" s="71"/>
      <c r="G43" s="71"/>
      <c r="H43" s="71"/>
      <c r="I43" s="71"/>
    </row>
    <row r="44" spans="1:12" ht="16.2">
      <c r="A44" s="16" t="s">
        <v>135</v>
      </c>
      <c r="B44" s="71"/>
      <c r="C44" s="71"/>
      <c r="D44" s="71"/>
      <c r="E44" s="71"/>
      <c r="F44" s="71"/>
      <c r="G44" s="71"/>
      <c r="H44" s="71"/>
      <c r="I44" s="71"/>
    </row>
    <row r="45" spans="1:12" ht="14.4">
      <c r="A45" s="16" t="s">
        <v>184</v>
      </c>
      <c r="B45" s="16"/>
      <c r="C45" s="16"/>
      <c r="D45" s="16"/>
      <c r="E45" s="16"/>
      <c r="F45" s="71"/>
      <c r="G45" s="16"/>
      <c r="H45" s="16"/>
      <c r="I45" s="16"/>
    </row>
    <row r="46" spans="1:12" ht="13.8">
      <c r="A46" s="21" t="s">
        <v>56</v>
      </c>
      <c r="B46" s="43">
        <f>Contents!A16</f>
        <v>45062</v>
      </c>
      <c r="C46" s="16"/>
      <c r="D46" s="16"/>
      <c r="E46" s="16"/>
      <c r="F46" s="16"/>
      <c r="G46" s="16"/>
      <c r="H46" s="16"/>
      <c r="I46" s="16"/>
    </row>
    <row r="47" spans="1:12" ht="15.6">
      <c r="C47" s="72"/>
      <c r="G47" s="72"/>
      <c r="H47" s="72"/>
      <c r="I47" s="72"/>
    </row>
    <row r="48" spans="1:12" ht="15.6">
      <c r="B48" s="73"/>
      <c r="C48" s="73"/>
      <c r="D48" s="73"/>
      <c r="E48" s="73"/>
      <c r="F48" s="73"/>
      <c r="G48" s="73"/>
      <c r="H48" s="72"/>
      <c r="I48" s="72"/>
    </row>
    <row r="49" spans="2:9" ht="15.6">
      <c r="B49" s="110"/>
      <c r="C49" s="110"/>
      <c r="D49" s="110"/>
      <c r="E49" s="110"/>
      <c r="F49" s="110"/>
      <c r="G49" s="110"/>
      <c r="H49" s="72"/>
      <c r="I49" s="72"/>
    </row>
    <row r="50" spans="2:9" ht="15.6">
      <c r="C50" s="72"/>
      <c r="G50" s="72"/>
      <c r="H50" s="72"/>
      <c r="I50" s="72"/>
    </row>
    <row r="51" spans="2:9" ht="15.6">
      <c r="C51" s="72"/>
      <c r="G51" s="72"/>
      <c r="H51" s="72"/>
      <c r="I51" s="72"/>
    </row>
    <row r="52" spans="2:9" ht="15.6">
      <c r="C52" s="72"/>
      <c r="G52" s="72"/>
      <c r="H52" s="72"/>
      <c r="I52" s="72"/>
    </row>
    <row r="53" spans="2:9" ht="15.6">
      <c r="C53" s="72"/>
      <c r="G53" s="72"/>
      <c r="H53" s="72"/>
      <c r="I53" s="72"/>
    </row>
    <row r="54" spans="2:9" ht="15.6">
      <c r="C54" s="72"/>
      <c r="G54" s="72"/>
      <c r="H54" s="72"/>
      <c r="I54" s="72"/>
    </row>
    <row r="55" spans="2:9" ht="15.6">
      <c r="C55" s="72"/>
      <c r="G55" s="72"/>
      <c r="H55" s="72"/>
      <c r="I55" s="72"/>
    </row>
    <row r="56" spans="2:9" ht="15.6">
      <c r="C56" s="72"/>
      <c r="G56" s="72"/>
      <c r="H56" s="72"/>
      <c r="I56" s="72"/>
    </row>
    <row r="57" spans="2:9" ht="15.6">
      <c r="C57" s="72"/>
      <c r="G57" s="72"/>
      <c r="H57" s="72"/>
      <c r="I57" s="72"/>
    </row>
    <row r="58" spans="2:9" ht="15.6">
      <c r="C58" s="72"/>
      <c r="G58" s="72"/>
      <c r="H58" s="72"/>
      <c r="I58" s="72"/>
    </row>
    <row r="59" spans="2:9" ht="15.6">
      <c r="C59" s="72"/>
      <c r="G59" s="72"/>
      <c r="H59" s="72"/>
      <c r="I59" s="72"/>
    </row>
    <row r="60" spans="2:9" ht="15.6">
      <c r="C60" s="72"/>
      <c r="G60" s="72"/>
      <c r="H60" s="72"/>
      <c r="I60" s="72"/>
    </row>
    <row r="61" spans="2:9" ht="15.6">
      <c r="C61" s="72"/>
      <c r="G61" s="72"/>
      <c r="H61" s="72"/>
      <c r="I61" s="72"/>
    </row>
    <row r="62" spans="2:9" ht="15.6">
      <c r="C62" s="72"/>
      <c r="G62" s="72"/>
      <c r="H62" s="72"/>
      <c r="I62" s="72"/>
    </row>
    <row r="63" spans="2:9" ht="15.6">
      <c r="C63" s="72"/>
      <c r="H63" s="72"/>
      <c r="I63" s="72"/>
    </row>
    <row r="64" spans="2:9" ht="15.6">
      <c r="C64" s="72"/>
      <c r="H64" s="72"/>
      <c r="I64" s="72"/>
    </row>
    <row r="65" spans="3:9" ht="15.6">
      <c r="C65" s="72"/>
      <c r="F65" s="73"/>
      <c r="H65" s="72"/>
      <c r="I65" s="72"/>
    </row>
    <row r="66" spans="3:9" ht="15.6">
      <c r="F66" s="73"/>
      <c r="H66" s="72"/>
      <c r="I66" s="72"/>
    </row>
  </sheetData>
  <phoneticPr fontId="28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6"/>
  <sheetViews>
    <sheetView showGridLines="0" zoomScale="70" zoomScaleNormal="70" workbookViewId="0"/>
  </sheetViews>
  <sheetFormatPr defaultColWidth="9.109375" defaultRowHeight="13.2"/>
  <cols>
    <col min="1" max="1" width="11.6640625" customWidth="1"/>
    <col min="2" max="7" width="13.6640625" customWidth="1"/>
    <col min="8" max="8" width="10.109375" bestFit="1" customWidth="1"/>
    <col min="9" max="9" width="11.44140625" customWidth="1"/>
    <col min="11" max="11" width="8.88671875" customWidth="1"/>
    <col min="12" max="12" width="18" bestFit="1" customWidth="1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16" t="s">
        <v>93</v>
      </c>
      <c r="B2" s="18" t="s">
        <v>118</v>
      </c>
      <c r="C2" s="74" t="s">
        <v>119</v>
      </c>
      <c r="D2" s="74" t="s">
        <v>120</v>
      </c>
      <c r="E2" s="74" t="s">
        <v>122</v>
      </c>
      <c r="F2" s="18" t="s">
        <v>136</v>
      </c>
      <c r="G2" s="18" t="s">
        <v>137</v>
      </c>
      <c r="AB2" s="75"/>
    </row>
    <row r="3" spans="1:28" ht="15.6" customHeight="1">
      <c r="A3" s="15" t="s">
        <v>100</v>
      </c>
      <c r="B3" s="24" t="s">
        <v>138</v>
      </c>
      <c r="C3" s="24" t="s">
        <v>139</v>
      </c>
      <c r="D3" s="24" t="s">
        <v>140</v>
      </c>
      <c r="E3" s="24" t="s">
        <v>141</v>
      </c>
      <c r="F3" s="24" t="s">
        <v>142</v>
      </c>
      <c r="G3" s="24" t="s">
        <v>143</v>
      </c>
      <c r="AB3" s="75"/>
    </row>
    <row r="4" spans="1:28" ht="14.4">
      <c r="A4" s="67" t="s">
        <v>144</v>
      </c>
      <c r="C4" s="68"/>
      <c r="D4" s="68"/>
      <c r="E4" s="68"/>
      <c r="F4" s="68"/>
      <c r="G4" s="68"/>
      <c r="AB4" s="75"/>
    </row>
    <row r="5" spans="1:28" ht="13.8">
      <c r="A5" s="16"/>
      <c r="B5" s="16"/>
      <c r="C5" s="16"/>
      <c r="D5" s="16"/>
      <c r="E5" s="16"/>
      <c r="F5" s="16"/>
      <c r="G5" s="16"/>
      <c r="AB5" s="75"/>
    </row>
    <row r="6" spans="1:28" ht="13.8">
      <c r="A6" s="16" t="s">
        <v>105</v>
      </c>
      <c r="B6" s="70">
        <v>345.52</v>
      </c>
      <c r="C6" s="70">
        <v>273.83999999999997</v>
      </c>
      <c r="D6" s="70">
        <v>219.72</v>
      </c>
      <c r="E6" s="61" t="s">
        <v>75</v>
      </c>
      <c r="F6" s="70">
        <v>263.63</v>
      </c>
      <c r="G6" s="70">
        <v>240.65</v>
      </c>
      <c r="AB6" s="75"/>
    </row>
    <row r="7" spans="1:28" ht="13.8">
      <c r="A7" s="16" t="s">
        <v>106</v>
      </c>
      <c r="B7" s="70">
        <v>393.53</v>
      </c>
      <c r="C7" s="70">
        <v>275.13</v>
      </c>
      <c r="D7" s="70">
        <v>246.75</v>
      </c>
      <c r="E7" s="61" t="s">
        <v>75</v>
      </c>
      <c r="F7" s="70">
        <v>307.58999999999997</v>
      </c>
      <c r="G7" s="70">
        <v>265.68</v>
      </c>
      <c r="AB7" s="75"/>
    </row>
    <row r="8" spans="1:28" ht="13.8">
      <c r="A8" s="16" t="s">
        <v>107</v>
      </c>
      <c r="B8" s="70">
        <v>468.11</v>
      </c>
      <c r="C8" s="70">
        <v>331.52</v>
      </c>
      <c r="D8" s="70">
        <v>241.57</v>
      </c>
      <c r="E8" s="61" t="s">
        <v>75</v>
      </c>
      <c r="F8" s="70">
        <v>354.22</v>
      </c>
      <c r="G8" s="70">
        <v>329.31</v>
      </c>
      <c r="AB8" s="75"/>
    </row>
    <row r="9" spans="1:28" ht="13.8">
      <c r="A9" s="16" t="s">
        <v>108</v>
      </c>
      <c r="B9" s="70">
        <v>489.94</v>
      </c>
      <c r="C9" s="70">
        <v>377.71</v>
      </c>
      <c r="D9" s="70">
        <v>238.87</v>
      </c>
      <c r="E9" s="61" t="s">
        <v>75</v>
      </c>
      <c r="F9" s="70">
        <v>359.7</v>
      </c>
      <c r="G9" s="70">
        <v>337.23</v>
      </c>
      <c r="AB9" s="75"/>
    </row>
    <row r="10" spans="1:28" ht="13.8">
      <c r="A10" s="16" t="s">
        <v>109</v>
      </c>
      <c r="B10" s="70">
        <v>368.49</v>
      </c>
      <c r="C10" s="70">
        <v>304.27</v>
      </c>
      <c r="D10" s="70">
        <v>209.97</v>
      </c>
      <c r="E10" s="61" t="s">
        <v>75</v>
      </c>
      <c r="F10" s="70">
        <v>301.2</v>
      </c>
      <c r="G10" s="70">
        <v>256.58</v>
      </c>
      <c r="AB10" s="75"/>
    </row>
    <row r="11" spans="1:28" ht="13.8">
      <c r="A11" s="16" t="s">
        <v>110</v>
      </c>
      <c r="B11" s="70">
        <v>324.56</v>
      </c>
      <c r="C11" s="70">
        <v>261.19</v>
      </c>
      <c r="D11" s="70">
        <v>153.16999999999999</v>
      </c>
      <c r="E11" s="61" t="s">
        <v>75</v>
      </c>
      <c r="F11" s="70">
        <v>262.2</v>
      </c>
      <c r="G11" s="70">
        <v>260.23</v>
      </c>
      <c r="AB11" s="75"/>
    </row>
    <row r="12" spans="1:28" ht="13.8">
      <c r="A12" s="16" t="s">
        <v>111</v>
      </c>
      <c r="B12" s="70">
        <v>316.88</v>
      </c>
      <c r="C12" s="70">
        <v>208.61</v>
      </c>
      <c r="D12" s="70">
        <v>145.1</v>
      </c>
      <c r="E12" s="61" t="s">
        <v>75</v>
      </c>
      <c r="F12" s="70">
        <v>267.94</v>
      </c>
      <c r="G12" s="70">
        <v>282.49</v>
      </c>
      <c r="AB12" s="75"/>
    </row>
    <row r="13" spans="1:28" ht="13.8">
      <c r="A13" s="16" t="s">
        <v>112</v>
      </c>
      <c r="B13" s="70">
        <v>345.02</v>
      </c>
      <c r="C13" s="70">
        <v>260.88</v>
      </c>
      <c r="D13" s="70">
        <v>173.53</v>
      </c>
      <c r="E13" s="61" t="s">
        <v>75</v>
      </c>
      <c r="F13" s="70">
        <v>291.14999999999998</v>
      </c>
      <c r="G13" s="70">
        <v>239.15</v>
      </c>
    </row>
    <row r="14" spans="1:28" ht="13.8">
      <c r="A14" s="16" t="s">
        <v>113</v>
      </c>
      <c r="B14" s="70">
        <v>308.27999999999997</v>
      </c>
      <c r="C14" s="70">
        <v>228.64</v>
      </c>
      <c r="D14" s="70">
        <v>164.16</v>
      </c>
      <c r="E14" s="61" t="s">
        <v>75</v>
      </c>
      <c r="F14" s="70">
        <v>272.38</v>
      </c>
      <c r="G14" s="70">
        <v>225.77</v>
      </c>
    </row>
    <row r="15" spans="1:28" ht="13.8">
      <c r="A15" s="16" t="s">
        <v>114</v>
      </c>
      <c r="B15" s="70">
        <v>299.5</v>
      </c>
      <c r="C15" s="70">
        <v>247.04</v>
      </c>
      <c r="D15" s="70">
        <v>187.7</v>
      </c>
      <c r="E15" s="61" t="s">
        <v>75</v>
      </c>
      <c r="F15" s="70">
        <v>273.99</v>
      </c>
      <c r="G15" s="70">
        <v>245.88</v>
      </c>
    </row>
    <row r="16" spans="1:28" ht="13.8">
      <c r="A16" s="16" t="s">
        <v>34</v>
      </c>
      <c r="B16" s="70">
        <v>392.31</v>
      </c>
      <c r="C16" s="70">
        <v>375.51</v>
      </c>
      <c r="D16" s="122">
        <v>246.22</v>
      </c>
      <c r="E16" s="61" t="s">
        <v>75</v>
      </c>
      <c r="F16" s="70">
        <v>351.87</v>
      </c>
      <c r="G16" s="70">
        <v>288.12</v>
      </c>
    </row>
    <row r="17" spans="1:13" ht="13.8">
      <c r="A17" s="16" t="s">
        <v>37</v>
      </c>
      <c r="B17" s="70">
        <v>439.81</v>
      </c>
      <c r="C17" s="70">
        <v>355.33</v>
      </c>
      <c r="D17" s="70">
        <v>279.98</v>
      </c>
      <c r="E17" s="61" t="s">
        <v>75</v>
      </c>
      <c r="F17" s="70">
        <v>439.1</v>
      </c>
      <c r="G17" s="70">
        <v>332.21</v>
      </c>
    </row>
    <row r="18" spans="1:13" ht="16.2">
      <c r="A18" s="16" t="s">
        <v>133</v>
      </c>
      <c r="B18" s="70">
        <v>455</v>
      </c>
      <c r="C18" s="70">
        <v>385</v>
      </c>
      <c r="D18" s="70">
        <v>285</v>
      </c>
      <c r="E18" s="61" t="s">
        <v>75</v>
      </c>
      <c r="F18" s="70">
        <v>430</v>
      </c>
      <c r="G18" s="122">
        <v>380</v>
      </c>
      <c r="I18" s="73"/>
    </row>
    <row r="19" spans="1:13" ht="16.2">
      <c r="A19" s="16" t="s">
        <v>190</v>
      </c>
      <c r="B19" s="70">
        <v>365</v>
      </c>
      <c r="C19" s="70">
        <v>334</v>
      </c>
      <c r="D19" s="70">
        <v>215</v>
      </c>
      <c r="E19" s="61" t="s">
        <v>75</v>
      </c>
      <c r="F19" s="70">
        <v>335</v>
      </c>
      <c r="G19" s="122">
        <v>265</v>
      </c>
      <c r="I19" s="73"/>
    </row>
    <row r="20" spans="1:13" ht="13.8">
      <c r="A20" s="16"/>
      <c r="B20" s="70"/>
      <c r="C20" s="70"/>
      <c r="D20" s="70"/>
      <c r="E20" s="61"/>
      <c r="F20" s="70"/>
      <c r="G20" s="70"/>
      <c r="I20" s="76"/>
      <c r="J20" s="77"/>
      <c r="K20" s="77"/>
      <c r="L20" s="77"/>
      <c r="M20" s="77"/>
    </row>
    <row r="21" spans="1:13" ht="13.8">
      <c r="A21" s="36" t="s">
        <v>37</v>
      </c>
      <c r="B21" s="70"/>
      <c r="C21" s="70"/>
      <c r="D21" s="70"/>
      <c r="E21" s="57"/>
      <c r="F21" s="70"/>
      <c r="G21" s="70"/>
      <c r="H21" s="57"/>
    </row>
    <row r="22" spans="1:13" ht="13.8">
      <c r="A22" s="16" t="s">
        <v>39</v>
      </c>
      <c r="B22" s="70">
        <v>325.43</v>
      </c>
      <c r="C22" s="70">
        <v>298.75</v>
      </c>
      <c r="D22" s="70">
        <v>222.5</v>
      </c>
      <c r="E22" s="61" t="s">
        <v>75</v>
      </c>
      <c r="F22" s="70">
        <v>322.82499999999999</v>
      </c>
      <c r="G22" s="70">
        <v>265.625</v>
      </c>
      <c r="H22" s="57"/>
      <c r="I22" s="73"/>
    </row>
    <row r="23" spans="1:13" ht="13.8">
      <c r="A23" s="16" t="s">
        <v>40</v>
      </c>
      <c r="B23" s="70">
        <v>358.73</v>
      </c>
      <c r="C23" s="70">
        <v>304.5</v>
      </c>
      <c r="D23" s="70">
        <v>256.5</v>
      </c>
      <c r="E23" s="61" t="s">
        <v>75</v>
      </c>
      <c r="F23" s="70">
        <v>350.21999999999997</v>
      </c>
      <c r="G23" s="70">
        <v>252</v>
      </c>
      <c r="H23" s="57"/>
      <c r="I23" s="73"/>
    </row>
    <row r="24" spans="1:13" ht="13.8">
      <c r="A24" s="16" t="s">
        <v>42</v>
      </c>
      <c r="B24" s="70">
        <v>399.53</v>
      </c>
      <c r="C24" s="70">
        <v>311.25</v>
      </c>
      <c r="D24" s="70">
        <v>289.16666666666669</v>
      </c>
      <c r="E24" s="61" t="s">
        <v>75</v>
      </c>
      <c r="F24" s="70">
        <v>382.9666666666667</v>
      </c>
      <c r="G24" s="70">
        <v>309.16666666666669</v>
      </c>
      <c r="H24" s="57"/>
      <c r="I24" s="73"/>
    </row>
    <row r="25" spans="1:13" ht="13.8">
      <c r="A25" s="16" t="s">
        <v>145</v>
      </c>
      <c r="B25" s="70">
        <v>421.21</v>
      </c>
      <c r="C25" s="70">
        <v>318.125</v>
      </c>
      <c r="D25" s="70">
        <v>301.25</v>
      </c>
      <c r="E25" s="61" t="s">
        <v>75</v>
      </c>
      <c r="F25" s="70">
        <v>410.875</v>
      </c>
      <c r="G25" s="70">
        <v>326.25</v>
      </c>
      <c r="H25" s="57"/>
      <c r="I25" s="73"/>
    </row>
    <row r="26" spans="1:13" ht="13.8">
      <c r="A26" s="16" t="s">
        <v>44</v>
      </c>
      <c r="B26" s="122">
        <v>460.45</v>
      </c>
      <c r="C26" s="70">
        <v>333.75</v>
      </c>
      <c r="D26" s="70">
        <v>320</v>
      </c>
      <c r="E26" s="61" t="s">
        <v>75</v>
      </c>
      <c r="F26" s="70">
        <v>454.625</v>
      </c>
      <c r="G26" s="70">
        <v>350</v>
      </c>
      <c r="H26" s="57"/>
      <c r="I26" s="73"/>
    </row>
    <row r="27" spans="1:13" ht="13.8">
      <c r="A27" s="16" t="s">
        <v>46</v>
      </c>
      <c r="B27" s="122">
        <v>493.97500000000002</v>
      </c>
      <c r="C27" s="70">
        <v>345.625</v>
      </c>
      <c r="D27" s="70">
        <v>333.33300000000003</v>
      </c>
      <c r="E27" s="61" t="s">
        <v>75</v>
      </c>
      <c r="F27" s="70">
        <v>487.03750000000002</v>
      </c>
      <c r="G27" s="70">
        <v>392.5</v>
      </c>
      <c r="H27" s="57"/>
      <c r="I27" s="73"/>
    </row>
    <row r="28" spans="1:13" ht="13.8">
      <c r="A28" s="16" t="s">
        <v>47</v>
      </c>
      <c r="B28" s="122">
        <v>475.35999999999996</v>
      </c>
      <c r="C28" s="70">
        <v>355</v>
      </c>
      <c r="D28" s="70">
        <v>321</v>
      </c>
      <c r="E28" s="61" t="s">
        <v>75</v>
      </c>
      <c r="F28" s="70">
        <v>470.77999999999992</v>
      </c>
      <c r="G28" s="70">
        <v>386</v>
      </c>
      <c r="H28" s="57"/>
      <c r="I28" s="73"/>
    </row>
    <row r="29" spans="1:13" ht="13.8">
      <c r="A29" s="16" t="s">
        <v>48</v>
      </c>
      <c r="B29" s="122">
        <v>441.27499999999998</v>
      </c>
      <c r="C29" s="70">
        <v>388.75</v>
      </c>
      <c r="D29" s="70">
        <v>285.625</v>
      </c>
      <c r="E29" s="61" t="s">
        <v>75</v>
      </c>
      <c r="F29" s="70">
        <v>454.5</v>
      </c>
      <c r="G29" s="70">
        <v>351.25</v>
      </c>
      <c r="H29" s="57"/>
      <c r="I29" s="73"/>
    </row>
    <row r="30" spans="1:13" ht="13.8">
      <c r="A30" s="16" t="s">
        <v>50</v>
      </c>
      <c r="B30" s="122">
        <v>445.92499999999995</v>
      </c>
      <c r="C30" s="70">
        <v>383.75</v>
      </c>
      <c r="D30" s="70">
        <v>281.875</v>
      </c>
      <c r="E30" s="61" t="s">
        <v>75</v>
      </c>
      <c r="F30" s="70">
        <v>478.17499999999995</v>
      </c>
      <c r="G30" s="70">
        <v>322.5</v>
      </c>
      <c r="H30" s="57"/>
      <c r="I30" s="73"/>
    </row>
    <row r="31" spans="1:13" ht="13.8">
      <c r="A31" s="16" t="s">
        <v>51</v>
      </c>
      <c r="B31" s="122">
        <v>467.87</v>
      </c>
      <c r="C31" s="70">
        <v>369.5</v>
      </c>
      <c r="D31" s="70">
        <v>268.5</v>
      </c>
      <c r="E31" s="61" t="s">
        <v>75</v>
      </c>
      <c r="F31" s="70">
        <v>501.17999999999995</v>
      </c>
      <c r="G31" s="70">
        <v>351.5</v>
      </c>
      <c r="H31" s="57"/>
      <c r="I31" s="73"/>
    </row>
    <row r="32" spans="1:13" ht="13.8">
      <c r="A32" s="16" t="s">
        <v>52</v>
      </c>
      <c r="B32" s="122">
        <v>510.90000000000009</v>
      </c>
      <c r="C32" s="70">
        <v>405</v>
      </c>
      <c r="D32" s="70">
        <v>255</v>
      </c>
      <c r="E32" s="61" t="s">
        <v>75</v>
      </c>
      <c r="F32" s="70">
        <v>521.52500000000009</v>
      </c>
      <c r="G32" s="70">
        <v>347.5</v>
      </c>
      <c r="H32" s="57"/>
      <c r="I32" s="73"/>
    </row>
    <row r="33" spans="1:10" ht="13.8">
      <c r="A33" s="16" t="s">
        <v>38</v>
      </c>
      <c r="B33" s="122">
        <v>473.93999999999994</v>
      </c>
      <c r="C33" s="70">
        <v>450</v>
      </c>
      <c r="D33" s="70">
        <v>225</v>
      </c>
      <c r="E33" s="61" t="s">
        <v>75</v>
      </c>
      <c r="F33" s="70">
        <v>434.53999999999996</v>
      </c>
      <c r="G33" s="70" t="s">
        <v>75</v>
      </c>
      <c r="H33" s="57"/>
    </row>
    <row r="34" spans="1:10" ht="13.8">
      <c r="A34" s="16"/>
      <c r="B34" s="122"/>
      <c r="C34" s="70"/>
      <c r="D34" s="70"/>
      <c r="E34" s="61"/>
      <c r="F34" s="70"/>
      <c r="G34" s="70"/>
      <c r="H34" s="57"/>
    </row>
    <row r="35" spans="1:10" ht="13.8">
      <c r="A35" s="36" t="s">
        <v>54</v>
      </c>
      <c r="B35" s="122"/>
      <c r="C35" s="70"/>
      <c r="D35" s="70"/>
      <c r="E35" s="61"/>
      <c r="F35" s="70"/>
      <c r="G35" s="70"/>
      <c r="H35" s="57"/>
    </row>
    <row r="36" spans="1:10" ht="13.8">
      <c r="A36" s="16" t="s">
        <v>39</v>
      </c>
      <c r="B36" s="122">
        <v>468.67499999999995</v>
      </c>
      <c r="C36" s="70">
        <v>451.875</v>
      </c>
      <c r="D36" s="70" t="s">
        <v>75</v>
      </c>
      <c r="E36" s="61" t="s">
        <v>75</v>
      </c>
      <c r="F36" s="70">
        <v>409.17499999999995</v>
      </c>
      <c r="G36" s="70" t="s">
        <v>75</v>
      </c>
      <c r="H36" s="57"/>
    </row>
    <row r="37" spans="1:10" ht="13.8">
      <c r="A37" s="16" t="s">
        <v>40</v>
      </c>
      <c r="B37" s="122">
        <v>436.74999999999994</v>
      </c>
      <c r="C37" s="70">
        <v>405</v>
      </c>
      <c r="D37" s="70" t="s">
        <v>75</v>
      </c>
      <c r="E37" s="61" t="s">
        <v>75</v>
      </c>
      <c r="F37" s="70">
        <v>402.99999999999994</v>
      </c>
      <c r="G37" s="70">
        <v>357.5</v>
      </c>
      <c r="H37" s="57"/>
      <c r="I37" s="73"/>
    </row>
    <row r="38" spans="1:10" ht="13.8">
      <c r="A38" s="16" t="s">
        <v>42</v>
      </c>
      <c r="B38" s="122">
        <v>462.85</v>
      </c>
      <c r="C38" s="70">
        <v>390.625</v>
      </c>
      <c r="D38" s="70">
        <v>200</v>
      </c>
      <c r="E38" s="61" t="s">
        <v>75</v>
      </c>
      <c r="F38" s="70">
        <v>437.09999999999997</v>
      </c>
      <c r="G38" s="70">
        <v>368.5</v>
      </c>
      <c r="H38" s="57"/>
      <c r="I38" s="73"/>
    </row>
    <row r="39" spans="1:10" ht="13.8">
      <c r="A39" s="16" t="s">
        <v>43</v>
      </c>
      <c r="B39" s="122">
        <v>482.40000000000003</v>
      </c>
      <c r="C39" s="70">
        <v>386.25</v>
      </c>
      <c r="D39" s="70">
        <v>355</v>
      </c>
      <c r="E39" s="61" t="s">
        <v>75</v>
      </c>
      <c r="F39" s="70">
        <v>474.02500000000003</v>
      </c>
      <c r="G39" s="70">
        <v>397.5</v>
      </c>
      <c r="I39" s="73"/>
    </row>
    <row r="40" spans="1:10" ht="13.8">
      <c r="A40" s="16" t="s">
        <v>44</v>
      </c>
      <c r="B40" s="122">
        <v>500.52499999999998</v>
      </c>
      <c r="C40" s="70">
        <v>392.5</v>
      </c>
      <c r="D40" s="70">
        <v>336.25</v>
      </c>
      <c r="E40" s="61" t="s">
        <v>75</v>
      </c>
      <c r="F40" s="70">
        <v>501.02499999999998</v>
      </c>
      <c r="G40" s="70">
        <v>412.5</v>
      </c>
      <c r="I40" s="73"/>
    </row>
    <row r="41" spans="1:10" ht="13.8">
      <c r="A41" s="16" t="s">
        <v>46</v>
      </c>
      <c r="B41" s="122">
        <v>484.4</v>
      </c>
      <c r="C41" s="70">
        <v>386.25</v>
      </c>
      <c r="D41" s="70">
        <v>308</v>
      </c>
      <c r="E41" s="61" t="s">
        <v>75</v>
      </c>
      <c r="F41" s="70">
        <v>466.6</v>
      </c>
      <c r="G41" s="70">
        <v>380.4</v>
      </c>
      <c r="I41" s="73"/>
    </row>
    <row r="42" spans="1:10" ht="13.8">
      <c r="A42" s="15" t="s">
        <v>47</v>
      </c>
      <c r="B42" s="123">
        <v>457.25</v>
      </c>
      <c r="C42" s="121">
        <v>364.375</v>
      </c>
      <c r="D42" s="121">
        <v>252.5</v>
      </c>
      <c r="E42" s="103" t="s">
        <v>75</v>
      </c>
      <c r="F42" s="121">
        <v>434.75</v>
      </c>
      <c r="G42" s="121">
        <v>352.5</v>
      </c>
      <c r="I42" s="73"/>
    </row>
    <row r="43" spans="1:10" ht="16.2">
      <c r="A43" s="49" t="s">
        <v>146</v>
      </c>
      <c r="B43" s="78"/>
      <c r="C43" s="78"/>
      <c r="D43" s="78"/>
      <c r="E43" s="78"/>
      <c r="F43" s="78"/>
      <c r="G43" s="78"/>
      <c r="I43" s="76"/>
    </row>
    <row r="44" spans="1:10" ht="16.2">
      <c r="A44" s="49" t="s">
        <v>147</v>
      </c>
      <c r="B44" s="79"/>
      <c r="C44" s="79"/>
      <c r="D44" s="79"/>
      <c r="E44" s="79"/>
      <c r="F44" s="79"/>
      <c r="G44" s="79"/>
      <c r="I44" s="76"/>
      <c r="J44" s="76"/>
    </row>
    <row r="45" spans="1:10" ht="14.4">
      <c r="A45" s="16" t="s">
        <v>185</v>
      </c>
      <c r="B45" s="16"/>
      <c r="C45" s="16"/>
      <c r="D45" s="16"/>
      <c r="E45" s="16"/>
      <c r="F45" s="79"/>
      <c r="G45" s="79"/>
      <c r="I45" s="76"/>
      <c r="J45" s="76"/>
    </row>
    <row r="46" spans="1:10" ht="13.8">
      <c r="A46" s="21" t="s">
        <v>56</v>
      </c>
      <c r="B46" s="43">
        <f>Contents!A16</f>
        <v>45062</v>
      </c>
      <c r="C46" s="16"/>
      <c r="D46" s="16"/>
      <c r="E46" s="16"/>
      <c r="F46" s="79"/>
      <c r="G46" s="79"/>
      <c r="I46" s="80"/>
      <c r="J46" s="80"/>
    </row>
    <row r="47" spans="1:10" ht="13.8">
      <c r="F47" s="79"/>
      <c r="G47" s="79"/>
      <c r="I47" s="80"/>
      <c r="J47" s="80"/>
    </row>
    <row r="48" spans="1:10" ht="13.8">
      <c r="F48" s="79"/>
      <c r="G48" s="79"/>
      <c r="I48" s="76"/>
      <c r="J48" s="76"/>
    </row>
    <row r="49" spans="2:10">
      <c r="B49" s="73"/>
      <c r="I49" s="76"/>
      <c r="J49" s="76"/>
    </row>
    <row r="50" spans="2:10">
      <c r="I50" s="76"/>
      <c r="J50" s="76"/>
    </row>
    <row r="51" spans="2:10">
      <c r="I51" s="76"/>
      <c r="J51" s="76"/>
    </row>
    <row r="52" spans="2:10">
      <c r="I52" s="76"/>
      <c r="J52" s="76"/>
    </row>
    <row r="53" spans="2:10">
      <c r="I53" s="76"/>
      <c r="J53" s="76"/>
    </row>
    <row r="55" spans="2:10">
      <c r="I55" s="81"/>
      <c r="J55" s="81"/>
    </row>
    <row r="56" spans="2:10">
      <c r="I56" s="81"/>
      <c r="J56" s="81"/>
    </row>
  </sheetData>
  <phoneticPr fontId="28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1B4A8-D2E6-435C-A08F-663738F5C381}">
  <dimension ref="A1:H28"/>
  <sheetViews>
    <sheetView zoomScaleNormal="100" workbookViewId="0">
      <selection activeCell="S17" sqref="S17"/>
    </sheetView>
  </sheetViews>
  <sheetFormatPr defaultColWidth="9.109375" defaultRowHeight="13.2"/>
  <cols>
    <col min="1" max="1" width="12.6640625" style="113" bestFit="1" customWidth="1"/>
    <col min="2" max="2" width="12.88671875" style="113" customWidth="1"/>
    <col min="3" max="3" width="11.5546875" style="113" customWidth="1"/>
    <col min="4" max="4" width="12.6640625" style="113" customWidth="1"/>
    <col min="5" max="5" width="10.6640625" style="113" bestFit="1" customWidth="1"/>
    <col min="6" max="6" width="10.6640625" style="113" customWidth="1"/>
    <col min="8" max="16384" width="9.109375" style="113"/>
  </cols>
  <sheetData>
    <row r="1" spans="1:8" ht="26.4">
      <c r="A1" s="119" t="s">
        <v>148</v>
      </c>
      <c r="B1" s="119" t="s">
        <v>193</v>
      </c>
      <c r="C1" s="119" t="s">
        <v>194</v>
      </c>
      <c r="D1" s="119" t="s">
        <v>192</v>
      </c>
      <c r="E1" s="119" t="s">
        <v>186</v>
      </c>
      <c r="F1" s="119" t="s">
        <v>195</v>
      </c>
    </row>
    <row r="2" spans="1:8">
      <c r="A2" s="126" t="s">
        <v>106</v>
      </c>
      <c r="B2" s="154">
        <v>66.5</v>
      </c>
      <c r="C2" s="154">
        <v>84.290999999999997</v>
      </c>
      <c r="D2" s="127">
        <v>40.1</v>
      </c>
      <c r="E2" s="155">
        <v>50.134</v>
      </c>
      <c r="F2" s="154">
        <v>241.02500000000001</v>
      </c>
      <c r="G2" s="114"/>
      <c r="H2" s="141"/>
    </row>
    <row r="3" spans="1:8">
      <c r="A3" s="126" t="s">
        <v>107</v>
      </c>
      <c r="B3" s="154">
        <v>82</v>
      </c>
      <c r="C3" s="154">
        <v>82.790999999999997</v>
      </c>
      <c r="D3" s="127">
        <v>49.3</v>
      </c>
      <c r="E3" s="155">
        <v>54.731999999999999</v>
      </c>
      <c r="F3" s="154">
        <v>268.82299999999998</v>
      </c>
      <c r="G3" s="114"/>
      <c r="H3" s="141"/>
    </row>
    <row r="4" spans="1:8">
      <c r="A4" s="126" t="s">
        <v>108</v>
      </c>
      <c r="B4" s="154">
        <v>86.2</v>
      </c>
      <c r="C4" s="154">
        <v>91.363</v>
      </c>
      <c r="D4" s="127">
        <v>53.4</v>
      </c>
      <c r="E4" s="155">
        <v>52.276000000000003</v>
      </c>
      <c r="F4" s="154">
        <v>283.23899999999998</v>
      </c>
      <c r="G4" s="114"/>
      <c r="H4" s="141"/>
    </row>
    <row r="5" spans="1:8">
      <c r="A5" s="126" t="s">
        <v>109</v>
      </c>
      <c r="B5" s="154">
        <v>97.1</v>
      </c>
      <c r="C5" s="154">
        <v>106.905</v>
      </c>
      <c r="D5" s="127">
        <v>61.45</v>
      </c>
      <c r="E5" s="155">
        <v>55.793000000000006</v>
      </c>
      <c r="F5" s="154">
        <v>321.24799999999999</v>
      </c>
      <c r="G5" s="114"/>
      <c r="H5" s="141"/>
    </row>
    <row r="6" spans="1:8">
      <c r="A6" s="126" t="s">
        <v>110</v>
      </c>
      <c r="B6" s="154">
        <v>95.7</v>
      </c>
      <c r="C6" s="154">
        <v>106.869</v>
      </c>
      <c r="D6" s="127">
        <v>58.8</v>
      </c>
      <c r="E6" s="155">
        <v>54.463999999999999</v>
      </c>
      <c r="F6" s="154">
        <v>315.83300000000003</v>
      </c>
      <c r="G6" s="114"/>
      <c r="H6" s="141"/>
    </row>
    <row r="7" spans="1:8">
      <c r="A7" s="120" t="s">
        <v>111</v>
      </c>
      <c r="B7" s="154">
        <v>114.9</v>
      </c>
      <c r="C7" s="154">
        <v>116.931</v>
      </c>
      <c r="D7" s="127">
        <v>55</v>
      </c>
      <c r="E7" s="155">
        <v>63.727000000000004</v>
      </c>
      <c r="F7" s="154">
        <v>350.55799999999999</v>
      </c>
      <c r="G7" s="114"/>
      <c r="H7" s="141"/>
    </row>
    <row r="8" spans="1:8">
      <c r="A8" s="120" t="s">
        <v>112</v>
      </c>
      <c r="B8" s="154">
        <v>123.4</v>
      </c>
      <c r="C8" s="154">
        <v>120.065</v>
      </c>
      <c r="D8" s="127">
        <v>37.799999999999997</v>
      </c>
      <c r="E8" s="155">
        <v>62.210999999999999</v>
      </c>
      <c r="F8" s="154">
        <v>343.476</v>
      </c>
      <c r="G8" s="114"/>
      <c r="H8" s="141"/>
    </row>
    <row r="9" spans="1:8">
      <c r="A9" s="120" t="s">
        <v>113</v>
      </c>
      <c r="B9" s="154">
        <v>120.5</v>
      </c>
      <c r="C9" s="154">
        <v>120.515</v>
      </c>
      <c r="D9" s="127">
        <v>55.3</v>
      </c>
      <c r="E9" s="155">
        <v>66.7</v>
      </c>
      <c r="F9" s="154">
        <v>363.01499999999999</v>
      </c>
      <c r="G9" s="114"/>
      <c r="H9" s="141"/>
    </row>
    <row r="10" spans="1:8">
      <c r="A10" s="120" t="s">
        <v>114</v>
      </c>
      <c r="B10" s="154">
        <v>128.5</v>
      </c>
      <c r="C10" s="154">
        <v>96.667000000000002</v>
      </c>
      <c r="D10" s="127">
        <v>48.8</v>
      </c>
      <c r="E10" s="155">
        <v>66.929000000000002</v>
      </c>
      <c r="F10" s="154">
        <v>340.89600000000002</v>
      </c>
      <c r="G10" s="114"/>
      <c r="H10" s="141"/>
    </row>
    <row r="11" spans="1:8">
      <c r="A11" s="120" t="s">
        <v>34</v>
      </c>
      <c r="B11" s="154">
        <v>139.5</v>
      </c>
      <c r="C11" s="154">
        <v>114.749</v>
      </c>
      <c r="D11" s="127">
        <v>46.2</v>
      </c>
      <c r="E11" s="155">
        <v>68.147000000000006</v>
      </c>
      <c r="F11" s="154">
        <v>368.596</v>
      </c>
      <c r="G11" s="114"/>
      <c r="H11" s="141"/>
    </row>
    <row r="12" spans="1:8">
      <c r="A12" s="117" t="s">
        <v>37</v>
      </c>
      <c r="B12" s="154">
        <v>130.5</v>
      </c>
      <c r="C12" s="154">
        <v>121.52800000000001</v>
      </c>
      <c r="D12" s="127">
        <v>43.9</v>
      </c>
      <c r="E12" s="155">
        <v>63.917999999999999</v>
      </c>
      <c r="F12" s="154">
        <v>359.846</v>
      </c>
      <c r="G12" s="114"/>
      <c r="H12" s="141"/>
    </row>
    <row r="13" spans="1:8">
      <c r="A13" s="117" t="s">
        <v>196</v>
      </c>
      <c r="B13" s="154">
        <v>155</v>
      </c>
      <c r="C13" s="154">
        <v>116.377</v>
      </c>
      <c r="D13" s="127">
        <v>27</v>
      </c>
      <c r="E13" s="155">
        <v>72.043999999999997</v>
      </c>
      <c r="F13" s="154">
        <v>370.42099999999999</v>
      </c>
      <c r="G13" s="114"/>
      <c r="H13" s="141"/>
    </row>
    <row r="14" spans="1:8">
      <c r="A14" s="117" t="s">
        <v>150</v>
      </c>
      <c r="B14" s="154">
        <v>163</v>
      </c>
      <c r="C14" s="155">
        <v>122.742</v>
      </c>
      <c r="D14" s="155">
        <v>48</v>
      </c>
      <c r="E14" s="155">
        <v>76.843000000000004</v>
      </c>
      <c r="F14" s="155">
        <v>410.58499999999998</v>
      </c>
      <c r="G14" s="114"/>
    </row>
    <row r="15" spans="1:8">
      <c r="B15" s="139"/>
      <c r="C15" s="139"/>
      <c r="E15" s="139"/>
      <c r="F15" s="139"/>
    </row>
    <row r="16" spans="1:8">
      <c r="B16" s="139"/>
      <c r="C16" s="139"/>
      <c r="D16" s="139"/>
      <c r="E16" s="139"/>
      <c r="F16" s="139"/>
    </row>
    <row r="17" spans="2:6">
      <c r="B17" s="139"/>
      <c r="C17" s="139"/>
      <c r="D17" s="139"/>
      <c r="E17" s="139"/>
      <c r="F17" s="139"/>
    </row>
    <row r="18" spans="2:6">
      <c r="B18" s="139"/>
      <c r="C18" s="139"/>
      <c r="D18" s="139"/>
      <c r="E18" s="139"/>
      <c r="F18" s="139"/>
    </row>
    <row r="19" spans="2:6">
      <c r="B19" s="139"/>
      <c r="C19" s="139"/>
      <c r="D19" s="139"/>
      <c r="E19" s="139"/>
      <c r="F19" s="139"/>
    </row>
    <row r="20" spans="2:6">
      <c r="B20" s="139"/>
      <c r="C20" s="139"/>
      <c r="D20" s="139"/>
      <c r="E20" s="139"/>
      <c r="F20" s="139"/>
    </row>
    <row r="21" spans="2:6">
      <c r="B21" s="139"/>
      <c r="C21" s="139"/>
      <c r="D21" s="139"/>
      <c r="E21" s="139"/>
      <c r="F21" s="139"/>
    </row>
    <row r="22" spans="2:6">
      <c r="B22" s="139"/>
      <c r="C22" s="139"/>
      <c r="D22" s="139"/>
      <c r="E22" s="139"/>
      <c r="F22" s="139"/>
    </row>
    <row r="23" spans="2:6">
      <c r="B23" s="139"/>
      <c r="C23" s="139"/>
      <c r="D23" s="139"/>
      <c r="E23" s="139"/>
      <c r="F23" s="139"/>
    </row>
    <row r="24" spans="2:6">
      <c r="B24" s="139"/>
      <c r="C24" s="139"/>
      <c r="D24" s="139"/>
      <c r="E24" s="139"/>
      <c r="F24" s="139"/>
    </row>
    <row r="25" spans="2:6">
      <c r="B25" s="139"/>
      <c r="C25" s="139"/>
      <c r="D25" s="139"/>
      <c r="E25" s="139"/>
      <c r="F25" s="139"/>
    </row>
    <row r="26" spans="2:6">
      <c r="B26" s="139"/>
      <c r="C26" s="139"/>
      <c r="D26" s="139"/>
      <c r="E26" s="139"/>
      <c r="F26" s="139"/>
    </row>
    <row r="27" spans="2:6">
      <c r="B27" s="139"/>
      <c r="C27" s="139"/>
      <c r="D27" s="139"/>
      <c r="E27" s="139"/>
      <c r="F27" s="139"/>
    </row>
    <row r="28" spans="2:6">
      <c r="B28" s="139"/>
      <c r="C28" s="139"/>
      <c r="D28" s="139"/>
      <c r="E28" s="139"/>
      <c r="F28" s="139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purl.org/dc/dcmitype/"/>
    <ds:schemaRef ds:uri="http://schemas.microsoft.com/office/2006/documentManagement/types"/>
    <ds:schemaRef ds:uri="c49de858-f9fd-4eb6-bcba-50396646711f"/>
    <ds:schemaRef ds:uri="http://purl.org/dc/terms/"/>
    <ds:schemaRef ds:uri="7818c5c2-d41f-4dce-801c-4e3595afcb3f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2023-05-15T22:04:34Z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