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N\2019DOCS\OCS\07July\"/>
    </mc:Choice>
  </mc:AlternateContent>
  <bookViews>
    <workbookView xWindow="0" yWindow="0" windowWidth="10875" windowHeight="1494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3'!$A$1:$M$52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B4" i="8" l="1"/>
  <c r="B5" i="8"/>
  <c r="B14" i="8"/>
  <c r="B15" i="8"/>
  <c r="B12" i="8"/>
  <c r="B13" i="8"/>
  <c r="B10" i="8"/>
  <c r="B11" i="8"/>
  <c r="B8" i="8"/>
  <c r="B9" i="8"/>
  <c r="B6" i="8"/>
  <c r="B7" i="8"/>
  <c r="B21" i="8"/>
  <c r="B20" i="8"/>
  <c r="B19" i="8"/>
  <c r="B18" i="8"/>
  <c r="B17" i="8"/>
  <c r="B16" i="8"/>
  <c r="H43" i="1"/>
  <c r="K43" i="1" l="1"/>
  <c r="K19" i="1"/>
  <c r="K23" i="1"/>
  <c r="K42" i="1"/>
  <c r="J35" i="9"/>
  <c r="D35" i="9"/>
  <c r="H33" i="2"/>
  <c r="D33" i="2"/>
  <c r="L41" i="1"/>
  <c r="G41" i="1"/>
  <c r="D7" i="1" l="1"/>
  <c r="D8" i="1"/>
  <c r="D6" i="1"/>
  <c r="L33" i="9" l="1"/>
  <c r="L35" i="9"/>
  <c r="L34" i="9"/>
  <c r="J33" i="2"/>
  <c r="J32" i="2"/>
  <c r="C33" i="2"/>
  <c r="C32" i="2"/>
  <c r="J39" i="1"/>
  <c r="J41" i="1"/>
  <c r="J40" i="1"/>
  <c r="E42" i="1" l="1"/>
  <c r="L42" i="1"/>
  <c r="L43" i="1" s="1"/>
  <c r="J42" i="1"/>
  <c r="J43" i="1" s="1"/>
  <c r="G42" i="1"/>
  <c r="H34" i="2"/>
  <c r="D34" i="2"/>
  <c r="C34" i="2"/>
  <c r="B33" i="2"/>
  <c r="E33" i="2" s="1"/>
  <c r="I33" i="2" s="1"/>
  <c r="J36" i="9"/>
  <c r="H36" i="9"/>
  <c r="D36" i="9"/>
  <c r="C36" i="9"/>
  <c r="B35" i="9"/>
  <c r="E35" i="9" s="1"/>
  <c r="K35" i="9" s="1"/>
  <c r="G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H42" i="1" l="1"/>
  <c r="M42" i="1" s="1"/>
  <c r="G43" i="1"/>
  <c r="G33" i="2"/>
  <c r="I34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G34" i="2" l="1"/>
  <c r="L46" i="3"/>
  <c r="N47" i="3"/>
  <c r="L47" i="3" s="1"/>
  <c r="N46" i="3"/>
  <c r="H47" i="3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G20" i="3"/>
  <c r="I7" i="3"/>
  <c r="J7" i="3"/>
  <c r="I21" i="3"/>
  <c r="G21" i="3" s="1"/>
  <c r="I20" i="3"/>
  <c r="E35" i="3"/>
  <c r="I35" i="3" s="1"/>
  <c r="G35" i="3" s="1"/>
  <c r="E33" i="3"/>
  <c r="I33" i="3" s="1"/>
  <c r="G33" i="3" s="1"/>
  <c r="E21" i="3"/>
  <c r="E20" i="3"/>
  <c r="E8" i="3"/>
  <c r="J8" i="3" s="1"/>
  <c r="I8" i="3" s="1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K36" i="9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6" i="9"/>
  <c r="E7" i="1"/>
  <c r="H7" i="1" s="1"/>
  <c r="M7" i="1" s="1"/>
  <c r="K7" i="1" s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F6" i="1"/>
  <c r="I34" i="9" l="1"/>
  <c r="I36" i="9" s="1"/>
  <c r="G36" i="9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M43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F43" i="1" l="1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6" i="6"/>
  <c r="B45" i="5"/>
  <c r="B45" i="4"/>
  <c r="B39" i="9"/>
  <c r="B37" i="2"/>
  <c r="B47" i="1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E34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K28" i="1"/>
  <c r="G28" i="9"/>
  <c r="I28" i="9"/>
</calcChain>
</file>

<file path=xl/sharedStrings.xml><?xml version="1.0" encoding="utf-8"?>
<sst xmlns="http://schemas.openxmlformats.org/spreadsheetml/2006/main" count="555" uniqueCount="211">
  <si>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</si>
  <si>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</si>
  <si>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</si>
  <si>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</si>
  <si>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</si>
  <si>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</si>
  <si>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</si>
  <si>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</si>
  <si>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</si>
  <si>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</si>
  <si>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</si>
  <si>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</si>
  <si>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</si>
  <si>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</si>
  <si>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</si>
  <si>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</si>
  <si>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</si>
  <si>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</si>
  <si>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</si>
  <si>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</si>
  <si>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</si>
  <si>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</si>
  <si>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</si>
  <si>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</si>
  <si>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</si>
  <si>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</si>
  <si>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</si>
  <si>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</si>
  <si>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</si>
  <si>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</si>
  <si>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</si>
  <si>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</si>
  <si>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</si>
  <si>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</si>
  <si>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</si>
  <si>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</si>
  <si>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</si>
  <si>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</si>
  <si>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</si>
  <si>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</si>
  <si>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</si>
  <si>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</si>
  <si>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</si>
  <si>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</si>
  <si>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</si>
  <si>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</si>
  <si>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</si>
  <si>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</si>
  <si>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</si>
  <si>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</si>
  <si>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</si>
  <si>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</si>
  <si>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</si>
  <si>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</si>
  <si>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</si>
  <si>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</si>
  <si>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</si>
  <si>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</si>
  <si>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</si>
  <si>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</si>
  <si>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</si>
  <si>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</si>
  <si>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</si>
  <si>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</si>
  <si>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</si>
  <si>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</si>
  <si>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</si>
  <si>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</si>
  <si>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</si>
  <si>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</si>
  <si>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</si>
  <si>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</si>
  <si>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</si>
  <si>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</si>
  <si>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</si>
  <si>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</si>
  <si>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</si>
  <si>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</si>
  <si>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</si>
  <si>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</si>
  <si>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</si>
  <si>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</si>
  <si>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</si>
  <si>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</si>
  <si>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</si>
  <si>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</si>
  <si>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</si>
  <si>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</si>
  <si>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</si>
  <si>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</si>
  <si>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</si>
  <si>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</si>
  <si>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</si>
  <si>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</si>
  <si>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</si>
  <si>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</si>
  <si>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</si>
  <si>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</si>
  <si>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</si>
  <si>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</si>
  <si>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</si>
  <si>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</si>
  <si>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</si>
  <si>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</si>
  <si>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</si>
  <si>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</si>
  <si>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</si>
  <si>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</si>
  <si>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</si>
  <si>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</si>
  <si>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</si>
  <si>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</si>
  <si>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</si>
  <si>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</si>
  <si>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</si>
  <si>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</si>
  <si>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</si>
  <si>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</si>
  <si>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</si>
  <si>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</si>
  <si>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</si>
  <si>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</si>
  <si>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</si>
  <si>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</si>
  <si>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</si>
  <si>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</si>
  <si>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</si>
  <si>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</si>
  <si>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</si>
  <si>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</si>
  <si>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</si>
  <si>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</si>
  <si>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</si>
  <si>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</si>
  <si>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</si>
  <si>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</si>
  <si>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</si>
  <si>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</si>
  <si>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</si>
  <si>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</si>
  <si>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</si>
  <si>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</si>
  <si>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</si>
  <si>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</si>
  <si>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</si>
  <si>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</si>
  <si>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</si>
  <si>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</si>
  <si>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</si>
  <si>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</si>
  <si>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</si>
  <si>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</si>
  <si>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</si>
  <si>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</si>
  <si>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</si>
  <si>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</si>
  <si>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</si>
  <si>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</si>
  <si>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</si>
  <si>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</si>
  <si>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</si>
  <si>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</si>
  <si>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</si>
  <si>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</si>
  <si>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</si>
  <si>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</si>
  <si>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</si>
  <si>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</si>
  <si>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</si>
  <si>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</si>
  <si>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</si>
  <si>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</si>
  <si>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Soybean</t>
  </si>
  <si>
    <t>export sales</t>
  </si>
  <si>
    <t>by June 30</t>
  </si>
  <si>
    <t>2019/20</t>
  </si>
  <si>
    <t>2002/03</t>
  </si>
  <si>
    <t>2003/04</t>
  </si>
  <si>
    <t>2004/05</t>
  </si>
  <si>
    <t>2005/06</t>
  </si>
  <si>
    <t>2006/07</t>
  </si>
  <si>
    <t>2007/08</t>
  </si>
  <si>
    <t>2008/09</t>
  </si>
  <si>
    <t>EU</t>
  </si>
  <si>
    <t>rapeseed</t>
  </si>
  <si>
    <t>Area (right axis)</t>
  </si>
  <si>
    <t>Change in soybean acreage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</si>
  <si>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</si>
  <si>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</si>
  <si>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</si>
  <si>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</si>
  <si>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</si>
  <si>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</si>
  <si>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</si>
  <si>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</si>
  <si>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</si>
  <si>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</si>
  <si>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Nebraska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</si>
  <si>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</si>
  <si>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</si>
  <si>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</si>
  <si>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</si>
  <si>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</si>
  <si>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</si>
  <si>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</si>
  <si>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</si>
  <si>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Wisconsin</t>
  </si>
  <si>
    <t>planted from March</t>
  </si>
  <si>
    <t>intentions</t>
  </si>
  <si>
    <t>Virginia</t>
  </si>
  <si>
    <t>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</si>
</sst>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175" fontId="17" fillId="0" borderId="0" xfId="0" quotePrefix="1" applyNumberFormat="1" applyFont="1" applyAlignment="1" applyProtection="1">
      <alignment horizontal="right"/>
    </xf>
    <xf numFmtId="3" fontId="0" fillId="0" borderId="0" xfId="2" applyNumberFormat="1" applyFont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Most States have large reductions </a:t>
            </a:r>
            <a:r>
              <a:rPr lang="en-US" sz="1050" b="1" i="0" u="none" strike="noStrike" baseline="0">
                <a:effectLst/>
              </a:rPr>
              <a:t>in soybean acreage </a:t>
            </a:r>
            <a:r>
              <a:rPr lang="en-US" sz="1050" baseline="0"/>
              <a:t>from March planting intentions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Cover!$B$3</c:f>
              <c:strCache>
                <c:ptCount val="1"/>
                <c:pt idx="0">
                  <c:v>1,000 acres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Cover!$A$4:$A$25</c:f>
              <c:strCache>
                <c:ptCount val="22"/>
                <c:pt idx="0">
                  <c:v>Wisconsin</c:v>
                </c:pt>
                <c:pt idx="1">
                  <c:v>Virginia</c:v>
                </c:pt>
                <c:pt idx="2">
                  <c:v>Tennessee</c:v>
                </c:pt>
                <c:pt idx="3">
                  <c:v>South Dakota</c:v>
                </c:pt>
                <c:pt idx="4">
                  <c:v>South Carolina</c:v>
                </c:pt>
                <c:pt idx="5">
                  <c:v>Pennsylvania</c:v>
                </c:pt>
                <c:pt idx="6">
                  <c:v>Oklahoma</c:v>
                </c:pt>
                <c:pt idx="7">
                  <c:v>Ohio</c:v>
                </c:pt>
                <c:pt idx="8">
                  <c:v>North Dakota</c:v>
                </c:pt>
                <c:pt idx="9">
                  <c:v>North Carolina</c:v>
                </c:pt>
                <c:pt idx="10">
                  <c:v>Nebraska</c:v>
                </c:pt>
                <c:pt idx="11">
                  <c:v>Missouri</c:v>
                </c:pt>
                <c:pt idx="12">
                  <c:v>Minnesota</c:v>
                </c:pt>
                <c:pt idx="13">
                  <c:v>Michigan</c:v>
                </c:pt>
                <c:pt idx="14">
                  <c:v>Louisiana</c:v>
                </c:pt>
                <c:pt idx="15">
                  <c:v>Kentucky</c:v>
                </c:pt>
                <c:pt idx="16">
                  <c:v>Kansas</c:v>
                </c:pt>
                <c:pt idx="17">
                  <c:v>Iowa</c:v>
                </c:pt>
                <c:pt idx="18">
                  <c:v>Indiana</c:v>
                </c:pt>
                <c:pt idx="19">
                  <c:v>Illinois</c:v>
                </c:pt>
                <c:pt idx="20">
                  <c:v>Arkansas</c:v>
                </c:pt>
                <c:pt idx="21">
                  <c:v>Alabama</c:v>
                </c:pt>
              </c:strCache>
            </c:strRef>
          </c:cat>
          <c:val>
            <c:numRef>
              <c:f>Cover!$B$4:$B$25</c:f>
              <c:numCache>
                <c:formatCode>0</c:formatCode>
                <c:ptCount val="22"/>
                <c:pt idx="0">
                  <c:v>-100</c:v>
                </c:pt>
                <c:pt idx="1">
                  <c:v>-20</c:v>
                </c:pt>
                <c:pt idx="2">
                  <c:v>0</c:v>
                </c:pt>
                <c:pt idx="3">
                  <c:v>-800</c:v>
                </c:pt>
                <c:pt idx="4">
                  <c:v>20</c:v>
                </c:pt>
                <c:pt idx="5">
                  <c:v>-20</c:v>
                </c:pt>
                <c:pt idx="6">
                  <c:v>-130</c:v>
                </c:pt>
                <c:pt idx="7">
                  <c:v>-250</c:v>
                </c:pt>
                <c:pt idx="8">
                  <c:v>-600</c:v>
                </c:pt>
                <c:pt idx="9">
                  <c:v>-50</c:v>
                </c:pt>
                <c:pt idx="10">
                  <c:v>-400</c:v>
                </c:pt>
                <c:pt idx="11">
                  <c:v>-200</c:v>
                </c:pt>
                <c:pt idx="12">
                  <c:v>-400</c:v>
                </c:pt>
                <c:pt idx="13">
                  <c:v>-100</c:v>
                </c:pt>
                <c:pt idx="14">
                  <c:v>-80</c:v>
                </c:pt>
                <c:pt idx="15">
                  <c:v>-50</c:v>
                </c:pt>
                <c:pt idx="16">
                  <c:v>-250</c:v>
                </c:pt>
                <c:pt idx="17">
                  <c:v>-300</c:v>
                </c:pt>
                <c:pt idx="18">
                  <c:v>-400</c:v>
                </c:pt>
                <c:pt idx="19">
                  <c:v>-200</c:v>
                </c:pt>
                <c:pt idx="20">
                  <c:v>-100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6515456"/>
        <c:axId val="-316517632"/>
      </c:barChart>
      <c:catAx>
        <c:axId val="-3165154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acres.</a:t>
                </a:r>
              </a:p>
            </c:rich>
          </c:tx>
          <c:layout>
            <c:manualLayout>
              <c:xMode val="edge"/>
              <c:yMode val="edge"/>
              <c:x val="1.4037787126631411E-2"/>
              <c:y val="0.89927576146863886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17632"/>
        <c:crosses val="autoZero"/>
        <c:auto val="1"/>
        <c:lblAlgn val="ctr"/>
        <c:lblOffset val="300"/>
        <c:noMultiLvlLbl val="1"/>
      </c:catAx>
      <c:valAx>
        <c:axId val="-316517632"/>
        <c:scaling>
          <c:orientation val="minMax"/>
          <c:max val="100"/>
          <c:min val="-80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Sources: USDA, National Agricultural Statistics Service, </a:t>
                </a:r>
                <a:r>
                  <a:rPr lang="en-US" sz="800" i="1"/>
                  <a:t>Prospective Plantings </a:t>
                </a:r>
                <a:r>
                  <a:rPr lang="en-US" sz="800"/>
                  <a:t>and </a:t>
                </a:r>
                <a:r>
                  <a:rPr lang="en-US" sz="800" i="1"/>
                  <a:t>Acreag</a:t>
                </a:r>
                <a:r>
                  <a:rPr lang="en-US" sz="800"/>
                  <a:t>e.</a:t>
                </a:r>
              </a:p>
            </c:rich>
          </c:tx>
          <c:layout>
            <c:manualLayout>
              <c:xMode val="edge"/>
              <c:yMode val="edge"/>
              <c:x val="1.2397482766997899E-2"/>
              <c:y val="0.9454764100774231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15456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End of June U.S. soybean export sales are unusually slow </a:t>
            </a:r>
            <a:r>
              <a:rPr lang="en-US" sz="1050"/>
              <a:t>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'Oil Crops Chart Gallery Fig 1'!$A$1:$A$3</c:f>
              <c:strCache>
                <c:ptCount val="3"/>
                <c:pt idx="0">
                  <c:v>Soybean</c:v>
                </c:pt>
                <c:pt idx="1">
                  <c:v>export sales</c:v>
                </c:pt>
                <c:pt idx="2">
                  <c:v>by June 30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1'!$A$4:$A$21</c:f>
              <c:strCache>
                <c:ptCount val="18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</c:strCache>
            </c:strRef>
          </c:cat>
          <c:val>
            <c:numRef>
              <c:f>'Oil Crops Chart Gallery Fig 1'!$B$4:$B$21</c:f>
              <c:numCache>
                <c:formatCode>_(* #,##0.0_);_(* \(#,##0.0\);_(* "-"??_);_(@_)</c:formatCode>
                <c:ptCount val="18"/>
                <c:pt idx="0">
                  <c:v>38.180378669999996</c:v>
                </c:pt>
                <c:pt idx="1">
                  <c:v>97.334061300000002</c:v>
                </c:pt>
                <c:pt idx="2">
                  <c:v>135.83043579</c:v>
                </c:pt>
                <c:pt idx="3">
                  <c:v>45.301307730000005</c:v>
                </c:pt>
                <c:pt idx="4">
                  <c:v>119.66320778999999</c:v>
                </c:pt>
                <c:pt idx="5">
                  <c:v>150.07229391000001</c:v>
                </c:pt>
                <c:pt idx="6">
                  <c:v>193.87445867999998</c:v>
                </c:pt>
                <c:pt idx="7">
                  <c:v>206.51429148</c:v>
                </c:pt>
                <c:pt idx="8">
                  <c:v>202.11974496000002</c:v>
                </c:pt>
                <c:pt idx="9">
                  <c:v>279.95392466999999</c:v>
                </c:pt>
                <c:pt idx="10">
                  <c:v>509.01047610000001</c:v>
                </c:pt>
                <c:pt idx="11">
                  <c:v>451.99895118000001</c:v>
                </c:pt>
                <c:pt idx="12">
                  <c:v>411.38613957000001</c:v>
                </c:pt>
                <c:pt idx="13">
                  <c:v>225.7237508652</c:v>
                </c:pt>
                <c:pt idx="14">
                  <c:v>279.19678398779996</c:v>
                </c:pt>
                <c:pt idx="15">
                  <c:v>129.18239814899999</c:v>
                </c:pt>
                <c:pt idx="16">
                  <c:v>293.29438634160005</c:v>
                </c:pt>
                <c:pt idx="17">
                  <c:v>90.974792397300007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6516544"/>
        <c:axId val="-316517088"/>
      </c:barChart>
      <c:catAx>
        <c:axId val="-3165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U.S. Export Sales.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17088"/>
        <c:crosses val="autoZero"/>
        <c:auto val="1"/>
        <c:lblAlgn val="ctr"/>
        <c:lblOffset val="100"/>
        <c:tickLblSkip val="2"/>
        <c:noMultiLvlLbl val="1"/>
      </c:catAx>
      <c:valAx>
        <c:axId val="-316517088"/>
        <c:scaling>
          <c:orientation val="minMax"/>
          <c:max val="6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16544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EU rapeseed production declines with lower area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2'!$A$3:$A$9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2'!$B$3:$B$9</c:f>
              <c:numCache>
                <c:formatCode>0.0</c:formatCode>
                <c:ptCount val="7"/>
                <c:pt idx="0">
                  <c:v>21.306000000000001</c:v>
                </c:pt>
                <c:pt idx="1">
                  <c:v>24.587</c:v>
                </c:pt>
                <c:pt idx="2">
                  <c:v>21.997</c:v>
                </c:pt>
                <c:pt idx="3">
                  <c:v>20.538</c:v>
                </c:pt>
                <c:pt idx="4">
                  <c:v>22.170999999999999</c:v>
                </c:pt>
                <c:pt idx="5">
                  <c:v>20.061</c:v>
                </c:pt>
                <c:pt idx="6">
                  <c:v>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521440"/>
        <c:axId val="-316514912"/>
      </c:barChart>
      <c:lineChart>
        <c:grouping val="standard"/>
        <c:varyColors val="0"/>
        <c:ser>
          <c:idx val="0"/>
          <c:order val="1"/>
          <c:tx>
            <c:strRef>
              <c:f>'Oil Crops Chart Gallery Fig 2'!$C$1</c:f>
              <c:strCache>
                <c:ptCount val="1"/>
                <c:pt idx="0">
                  <c:v>Area (right axis)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'Oil Crops Chart Gallery Fig 2'!$A$3:$A$9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2'!$C$3:$C$9</c:f>
              <c:numCache>
                <c:formatCode>0.0</c:formatCode>
                <c:ptCount val="7"/>
                <c:pt idx="0">
                  <c:v>6.7679999999999998</c:v>
                </c:pt>
                <c:pt idx="1">
                  <c:v>6.7469999999999999</c:v>
                </c:pt>
                <c:pt idx="2">
                  <c:v>6.5069999999999997</c:v>
                </c:pt>
                <c:pt idx="3">
                  <c:v>6.5819999999999999</c:v>
                </c:pt>
                <c:pt idx="4">
                  <c:v>6.8220000000000001</c:v>
                </c:pt>
                <c:pt idx="5">
                  <c:v>7.0640000000000001</c:v>
                </c:pt>
                <c:pt idx="6">
                  <c:v>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518176"/>
        <c:axId val="-316520896"/>
      </c:lineChart>
      <c:catAx>
        <c:axId val="-3165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14912"/>
        <c:crosses val="autoZero"/>
        <c:auto val="0"/>
        <c:lblAlgn val="ctr"/>
        <c:lblOffset val="100"/>
        <c:noMultiLvlLbl val="0"/>
      </c:catAx>
      <c:valAx>
        <c:axId val="-31651491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16521440"/>
        <c:crosses val="autoZero"/>
        <c:crossBetween val="between"/>
        <c:majorUnit val="10"/>
        <c:minorUnit val="5"/>
      </c:valAx>
      <c:valAx>
        <c:axId val="-316520896"/>
        <c:scaling>
          <c:orientation val="minMax"/>
          <c:min val="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0.76551455264264512"/>
              <c:y val="0.127727100072367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316518176"/>
        <c:crosses val="max"/>
        <c:crossBetween val="between"/>
      </c:valAx>
      <c:catAx>
        <c:axId val="-31651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1652089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083024863441807"/>
          <c:y val="0.19133660979896316"/>
          <c:w val="0.17167178851727305"/>
          <c:h val="9.411641713720848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14</xdr:col>
      <xdr:colOff>70139</xdr:colOff>
      <xdr:row>27</xdr:row>
      <xdr:rowOff>55418</xdr:rowOff>
    </xdr:to>
    <xdr:graphicFrame macro="">
      <xdr:nvGraphicFramePr>
        <xdr:cNvPr id="3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500496</xdr:colOff>
      <xdr:row>0</xdr:row>
      <xdr:rowOff>38967</xdr:rowOff>
    </xdr:from>
    <xdr:to>
      <xdr:col>13</xdr:col>
      <xdr:colOff>324717</xdr:colOff>
      <xdr:row>26</xdr:row>
      <xdr:rowOff>867</xdr:rowOff>
    </xdr:to>
    <xdr:graphicFrame macro="">
      <xdr:nvGraphicFramePr>
        <xdr:cNvPr id="3077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164523</xdr:colOff>
      <xdr:row>0</xdr:row>
      <xdr:rowOff>0</xdr:rowOff>
    </xdr:from>
    <xdr:to>
      <xdr:col>13</xdr:col>
      <xdr:colOff>501361</xdr:colOff>
      <xdr:row>24</xdr:row>
      <xdr:rowOff>61480</xdr:rowOff>
    </xdr:to>
    <xdr:graphicFrame macro="">
      <xdr:nvGraphicFramePr>
        <xdr:cNvPr id="3" name="Chart 4" descr="A chart of China's soybean annual production and imports of rapeseed oil and soybean oil and palm oil im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43661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B22" sqref="B22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5" x14ac:dyDescent="0.2">
      <c r="A1" s="149" t="s">
        <v>172</v>
      </c>
      <c r="B1" s="149"/>
      <c r="C1" s="149"/>
      <c r="D1" s="149"/>
      <c r="E1" s="149"/>
    </row>
    <row r="2" spans="1:5" ht="15.75" x14ac:dyDescent="0.25">
      <c r="A2" s="131" t="s">
        <v>173</v>
      </c>
      <c r="B2" s="38"/>
      <c r="C2" s="38"/>
      <c r="D2" s="38"/>
      <c r="E2" s="38"/>
    </row>
    <row r="3" spans="1:5" x14ac:dyDescent="0.2">
      <c r="A3" s="156" t="s">
        <v>174</v>
      </c>
      <c r="B3" s="148"/>
      <c r="C3" s="148"/>
      <c r="D3" s="156"/>
      <c r="E3" s="130"/>
    </row>
    <row r="4" spans="1:5" x14ac:dyDescent="0.2">
      <c r="A4" s="167" t="s">
        <v>176</v>
      </c>
      <c r="B4" s="163">
        <f>1039.1*2.204622/60</f>
        <v>38.180378669999996</v>
      </c>
      <c r="C4" s="163"/>
      <c r="D4" s="163"/>
      <c r="E4" s="163"/>
    </row>
    <row r="5" spans="1:5" x14ac:dyDescent="0.2">
      <c r="A5" s="167" t="s">
        <v>177</v>
      </c>
      <c r="B5" s="163">
        <f>2649*2.204622/60</f>
        <v>97.334061300000002</v>
      </c>
      <c r="C5" s="163"/>
      <c r="D5" s="163"/>
      <c r="E5" s="163"/>
    </row>
    <row r="6" spans="1:5" x14ac:dyDescent="0.2">
      <c r="A6" s="167" t="s">
        <v>178</v>
      </c>
      <c r="B6" s="163">
        <f>3696.7*2.204622/60</f>
        <v>135.83043579</v>
      </c>
      <c r="C6" s="163"/>
      <c r="D6" s="163"/>
      <c r="E6" s="163"/>
    </row>
    <row r="7" spans="1:5" x14ac:dyDescent="0.2">
      <c r="A7" s="167" t="s">
        <v>179</v>
      </c>
      <c r="B7" s="163">
        <f>1232.9*2.204622/60</f>
        <v>45.301307730000005</v>
      </c>
      <c r="C7" s="163"/>
      <c r="D7" s="163"/>
      <c r="E7" s="163"/>
    </row>
    <row r="8" spans="1:5" x14ac:dyDescent="0.2">
      <c r="A8" s="167" t="s">
        <v>180</v>
      </c>
      <c r="B8" s="163">
        <f>3256.7*2.204622/60</f>
        <v>119.66320778999999</v>
      </c>
      <c r="C8" s="163"/>
      <c r="D8" s="163"/>
      <c r="E8" s="163"/>
    </row>
    <row r="9" spans="1:5" x14ac:dyDescent="0.2">
      <c r="A9" s="167" t="s">
        <v>181</v>
      </c>
      <c r="B9" s="163">
        <f>4084.3*2.204622/60</f>
        <v>150.07229391000001</v>
      </c>
      <c r="C9" s="163"/>
      <c r="D9" s="163"/>
      <c r="E9" s="163"/>
    </row>
    <row r="10" spans="1:5" x14ac:dyDescent="0.2">
      <c r="A10" s="167" t="s">
        <v>182</v>
      </c>
      <c r="B10" s="163">
        <f>5276.4*2.204622/60</f>
        <v>193.87445867999998</v>
      </c>
      <c r="C10" s="163"/>
      <c r="D10" s="163"/>
      <c r="E10" s="163"/>
    </row>
    <row r="11" spans="1:5" x14ac:dyDescent="0.2">
      <c r="A11" s="167" t="s">
        <v>54</v>
      </c>
      <c r="B11" s="163">
        <f>5620.4*2.204622/60</f>
        <v>206.51429148</v>
      </c>
      <c r="C11" s="163"/>
      <c r="D11" s="163"/>
      <c r="E11" s="163"/>
    </row>
    <row r="12" spans="1:5" x14ac:dyDescent="0.2">
      <c r="A12" s="167" t="s">
        <v>55</v>
      </c>
      <c r="B12" s="163">
        <f>5500.8*2.204622/60</f>
        <v>202.11974496000002</v>
      </c>
      <c r="C12" s="163"/>
      <c r="D12" s="163"/>
      <c r="E12" s="163"/>
    </row>
    <row r="13" spans="1:5" x14ac:dyDescent="0.2">
      <c r="A13" s="167" t="s">
        <v>66</v>
      </c>
      <c r="B13" s="163">
        <f>7619.1*2.204622/60</f>
        <v>279.95392466999999</v>
      </c>
      <c r="C13" s="163"/>
      <c r="D13" s="163"/>
      <c r="E13" s="163"/>
    </row>
    <row r="14" spans="1:5" x14ac:dyDescent="0.2">
      <c r="A14" s="167" t="s">
        <v>90</v>
      </c>
      <c r="B14" s="163">
        <f>13853*2.204622/60</f>
        <v>509.01047610000001</v>
      </c>
      <c r="C14" s="163"/>
      <c r="D14" s="163"/>
      <c r="E14" s="163"/>
    </row>
    <row r="15" spans="1:5" x14ac:dyDescent="0.2">
      <c r="A15" s="167" t="s">
        <v>97</v>
      </c>
      <c r="B15" s="163">
        <f>12301.4*2.204622/60</f>
        <v>451.99895118000001</v>
      </c>
      <c r="C15" s="163"/>
      <c r="D15" s="163"/>
      <c r="E15" s="163"/>
    </row>
    <row r="16" spans="1:5" x14ac:dyDescent="0.2">
      <c r="A16" s="167" t="s">
        <v>100</v>
      </c>
      <c r="B16" s="163">
        <f>11196.1*2.204622/60</f>
        <v>411.38613957000001</v>
      </c>
      <c r="C16" s="163"/>
      <c r="D16" s="163"/>
    </row>
    <row r="17" spans="1:5" x14ac:dyDescent="0.2">
      <c r="A17" s="167" t="s">
        <v>101</v>
      </c>
      <c r="B17" s="163">
        <f>6143.196*2.204622/60</f>
        <v>225.7237508652</v>
      </c>
      <c r="C17" s="163"/>
      <c r="D17" s="163"/>
      <c r="E17" s="157"/>
    </row>
    <row r="18" spans="1:5" x14ac:dyDescent="0.2">
      <c r="A18" s="167" t="s">
        <v>117</v>
      </c>
      <c r="B18" s="163">
        <f>7598.494*2.204622/60</f>
        <v>279.19678398779996</v>
      </c>
      <c r="C18" s="163"/>
      <c r="D18" s="163"/>
      <c r="E18" s="157"/>
    </row>
    <row r="19" spans="1:5" x14ac:dyDescent="0.2">
      <c r="A19" s="167" t="s">
        <v>119</v>
      </c>
      <c r="B19" s="163">
        <f>3515.77*2.204622/60</f>
        <v>129.18239814899999</v>
      </c>
      <c r="C19" s="163"/>
      <c r="D19" s="163"/>
      <c r="E19" s="157"/>
    </row>
    <row r="20" spans="1:5" x14ac:dyDescent="0.2">
      <c r="A20" s="167" t="s">
        <v>164</v>
      </c>
      <c r="B20" s="163">
        <f>7982.168*2.204622/60</f>
        <v>293.29438634160005</v>
      </c>
      <c r="C20" s="163"/>
      <c r="D20" s="163"/>
      <c r="E20" s="157"/>
    </row>
    <row r="21" spans="1:5" x14ac:dyDescent="0.2">
      <c r="A21" s="167" t="s">
        <v>175</v>
      </c>
      <c r="B21" s="163">
        <f>2475.929*2.204622/60</f>
        <v>90.974792397300007</v>
      </c>
      <c r="C21" s="163"/>
      <c r="D21" s="157"/>
      <c r="E21" s="157"/>
    </row>
    <row r="22" spans="1:5" x14ac:dyDescent="0.2">
      <c r="A22" s="146"/>
      <c r="B22" s="163"/>
      <c r="C22" s="163"/>
      <c r="D22" s="157"/>
      <c r="E22" s="157"/>
    </row>
    <row r="23" spans="1:5" x14ac:dyDescent="0.2">
      <c r="A23" s="146"/>
      <c r="B23" s="163"/>
      <c r="C23" s="163"/>
      <c r="D23" s="157"/>
      <c r="E23" s="157"/>
    </row>
    <row r="24" spans="1:5" x14ac:dyDescent="0.2">
      <c r="A24" s="146"/>
      <c r="B24" s="163"/>
      <c r="C24" s="163"/>
      <c r="D24" s="157"/>
      <c r="E24" s="157"/>
    </row>
    <row r="25" spans="1:5" x14ac:dyDescent="0.2">
      <c r="A25" s="146"/>
      <c r="B25" s="163"/>
      <c r="C25" s="163"/>
      <c r="D25" s="157"/>
      <c r="E25" s="157"/>
    </row>
    <row r="26" spans="1:5" x14ac:dyDescent="0.2">
      <c r="C26" s="163"/>
      <c r="D26" s="157"/>
      <c r="E26" s="157"/>
    </row>
    <row r="27" spans="1:5" x14ac:dyDescent="0.2">
      <c r="C27" s="163"/>
      <c r="D27" s="157"/>
      <c r="E27" s="157"/>
    </row>
    <row r="28" spans="1:5" x14ac:dyDescent="0.2">
      <c r="C28" s="163"/>
      <c r="D28" s="157"/>
      <c r="E28" s="157"/>
    </row>
    <row r="29" spans="1:5" x14ac:dyDescent="0.2">
      <c r="C29" s="163"/>
      <c r="D29" s="157"/>
      <c r="E29" s="157"/>
    </row>
    <row r="30" spans="1:5" x14ac:dyDescent="0.2">
      <c r="C30" s="163"/>
      <c r="D30" s="157"/>
      <c r="E30" s="157"/>
    </row>
    <row r="31" spans="1:5" x14ac:dyDescent="0.2">
      <c r="C31" s="163"/>
    </row>
    <row r="32" spans="1:5" x14ac:dyDescent="0.2">
      <c r="C32" s="163"/>
    </row>
    <row r="33" spans="1:5" x14ac:dyDescent="0.2">
      <c r="C33" s="163"/>
    </row>
    <row r="34" spans="1:5" x14ac:dyDescent="0.2">
      <c r="C34" s="163"/>
    </row>
    <row r="35" spans="1:5" x14ac:dyDescent="0.2">
      <c r="C35" s="163"/>
    </row>
    <row r="36" spans="1:5" x14ac:dyDescent="0.2">
      <c r="C36" s="163"/>
    </row>
    <row r="37" spans="1:5" x14ac:dyDescent="0.2">
      <c r="C37" s="163"/>
    </row>
    <row r="38" spans="1:5" x14ac:dyDescent="0.2">
      <c r="C38" s="163"/>
      <c r="D38" s="13"/>
      <c r="E38" s="13"/>
    </row>
    <row r="39" spans="1:5" x14ac:dyDescent="0.2">
      <c r="C39" s="163"/>
      <c r="D39" s="13"/>
      <c r="E39" s="13"/>
    </row>
    <row r="40" spans="1:5" x14ac:dyDescent="0.2">
      <c r="C40" s="163"/>
      <c r="D40" s="13"/>
      <c r="E40" s="13"/>
    </row>
    <row r="41" spans="1:5" x14ac:dyDescent="0.2">
      <c r="C41" s="163"/>
      <c r="D41" s="13"/>
      <c r="E41" s="13"/>
    </row>
    <row r="42" spans="1:5" x14ac:dyDescent="0.2">
      <c r="C42" s="163"/>
      <c r="D42" s="13"/>
      <c r="E42" s="13"/>
    </row>
    <row r="43" spans="1:5" x14ac:dyDescent="0.2">
      <c r="C43" s="163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10" sqref="A10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3" t="s">
        <v>183</v>
      </c>
      <c r="B1" s="166" t="s">
        <v>1</v>
      </c>
      <c r="C1" s="166" t="s">
        <v>185</v>
      </c>
      <c r="D1" s="166"/>
      <c r="E1" s="166"/>
      <c r="F1" s="144"/>
      <c r="H1" s="13"/>
    </row>
    <row r="2" spans="1:8" ht="14.25" x14ac:dyDescent="0.2">
      <c r="A2" s="143" t="s">
        <v>184</v>
      </c>
      <c r="B2" s="146" t="s">
        <v>166</v>
      </c>
      <c r="D2" s="144"/>
      <c r="E2" s="144"/>
      <c r="F2" s="144"/>
      <c r="H2" s="13"/>
    </row>
    <row r="3" spans="1:8" x14ac:dyDescent="0.2">
      <c r="A3" s="167" t="s">
        <v>97</v>
      </c>
      <c r="B3" s="134">
        <v>21.306000000000001</v>
      </c>
      <c r="C3" s="134">
        <v>6.7679999999999998</v>
      </c>
      <c r="D3" s="134"/>
      <c r="E3" s="134"/>
      <c r="F3" s="144"/>
      <c r="H3" s="13"/>
    </row>
    <row r="4" spans="1:8" x14ac:dyDescent="0.2">
      <c r="A4" s="167" t="s">
        <v>100</v>
      </c>
      <c r="B4" s="134">
        <v>24.587</v>
      </c>
      <c r="C4" s="134">
        <v>6.7469999999999999</v>
      </c>
      <c r="D4" s="134"/>
      <c r="E4" s="134"/>
      <c r="F4" s="144"/>
    </row>
    <row r="5" spans="1:8" x14ac:dyDescent="0.2">
      <c r="A5" s="167" t="s">
        <v>101</v>
      </c>
      <c r="B5" s="134">
        <v>21.997</v>
      </c>
      <c r="C5" s="134">
        <v>6.5069999999999997</v>
      </c>
      <c r="D5" s="134"/>
      <c r="E5" s="134"/>
    </row>
    <row r="6" spans="1:8" x14ac:dyDescent="0.2">
      <c r="A6" s="167" t="s">
        <v>117</v>
      </c>
      <c r="B6" s="134">
        <v>20.538</v>
      </c>
      <c r="C6" s="134">
        <v>6.5819999999999999</v>
      </c>
      <c r="D6" s="133"/>
    </row>
    <row r="7" spans="1:8" x14ac:dyDescent="0.2">
      <c r="A7" s="167" t="s">
        <v>119</v>
      </c>
      <c r="B7" s="134">
        <v>22.170999999999999</v>
      </c>
      <c r="C7" s="134">
        <v>6.8220000000000001</v>
      </c>
      <c r="D7" s="133"/>
    </row>
    <row r="8" spans="1:8" x14ac:dyDescent="0.2">
      <c r="A8" s="167" t="s">
        <v>164</v>
      </c>
      <c r="B8" s="134">
        <v>20.061</v>
      </c>
      <c r="C8" s="134">
        <v>7.0640000000000001</v>
      </c>
      <c r="D8" s="133"/>
    </row>
    <row r="9" spans="1:8" x14ac:dyDescent="0.2">
      <c r="A9" s="167" t="s">
        <v>175</v>
      </c>
      <c r="B9" s="134">
        <v>18.7</v>
      </c>
      <c r="C9" s="134">
        <v>5.75</v>
      </c>
      <c r="D9" s="133"/>
    </row>
    <row r="10" spans="1:8" ht="14.25" x14ac:dyDescent="0.2">
      <c r="A10" s="143"/>
      <c r="B10" s="144"/>
      <c r="C10" s="133"/>
      <c r="D10" s="133"/>
    </row>
    <row r="11" spans="1:8" ht="14.25" x14ac:dyDescent="0.2">
      <c r="A11" s="143"/>
      <c r="B11" s="144"/>
      <c r="C11" s="133"/>
      <c r="D11" s="133"/>
    </row>
    <row r="12" spans="1:8" ht="14.25" x14ac:dyDescent="0.2">
      <c r="A12" s="143"/>
      <c r="B12" s="144"/>
      <c r="C12" s="133"/>
      <c r="D12" s="133"/>
    </row>
    <row r="13" spans="1:8" ht="14.25" x14ac:dyDescent="0.2">
      <c r="A13" s="143"/>
      <c r="B13" s="144"/>
      <c r="C13" s="133"/>
      <c r="D13" s="133"/>
    </row>
    <row r="14" spans="1:8" ht="14.25" x14ac:dyDescent="0.2">
      <c r="A14" s="143"/>
      <c r="B14" s="144"/>
      <c r="C14" s="133"/>
      <c r="D14" s="133"/>
    </row>
    <row r="15" spans="1:8" ht="14.25" x14ac:dyDescent="0.2">
      <c r="A15" s="143"/>
      <c r="B15" s="144"/>
      <c r="C15" s="133"/>
      <c r="D15" s="133"/>
    </row>
    <row r="16" spans="1:8" ht="14.25" x14ac:dyDescent="0.2">
      <c r="A16" s="143"/>
      <c r="B16" s="144"/>
      <c r="C16" s="133"/>
      <c r="D16" s="133"/>
    </row>
    <row r="17" spans="1:4" ht="14.25" x14ac:dyDescent="0.2">
      <c r="A17" s="143"/>
      <c r="B17" s="144"/>
      <c r="C17" s="133"/>
      <c r="D17" s="133"/>
    </row>
    <row r="18" spans="1:4" ht="14.25" x14ac:dyDescent="0.2">
      <c r="A18" s="143"/>
      <c r="B18" s="144"/>
      <c r="C18" s="133"/>
      <c r="D18" s="133"/>
    </row>
    <row r="19" spans="1:4" ht="14.25" x14ac:dyDescent="0.2">
      <c r="A19" s="143"/>
      <c r="B19" s="144"/>
      <c r="C19" s="133"/>
      <c r="D19" s="133"/>
    </row>
    <row r="20" spans="1:4" ht="14.25" x14ac:dyDescent="0.2">
      <c r="A20" s="143"/>
      <c r="B20" s="144"/>
      <c r="C20" s="133"/>
      <c r="D20" s="133"/>
    </row>
    <row r="21" spans="1:4" ht="14.25" x14ac:dyDescent="0.2">
      <c r="A21" s="143"/>
      <c r="B21" s="144"/>
      <c r="C21" s="133"/>
      <c r="D21" s="133"/>
    </row>
    <row r="22" spans="1:4" ht="14.25" x14ac:dyDescent="0.2">
      <c r="A22" s="143"/>
      <c r="B22" s="144"/>
      <c r="C22" s="133"/>
      <c r="D22" s="133"/>
    </row>
    <row r="23" spans="1:4" ht="14.25" x14ac:dyDescent="0.2">
      <c r="A23" s="143"/>
      <c r="B23" s="144"/>
      <c r="C23" s="133"/>
      <c r="D23" s="133"/>
    </row>
    <row r="24" spans="1:4" ht="14.25" x14ac:dyDescent="0.2">
      <c r="A24" s="143"/>
      <c r="B24" s="144"/>
      <c r="C24" s="133"/>
      <c r="D24" s="133"/>
    </row>
    <row r="25" spans="1:4" ht="14.25" x14ac:dyDescent="0.2">
      <c r="A25" s="143"/>
      <c r="B25" s="144"/>
      <c r="C25" s="133"/>
      <c r="D25" s="133"/>
    </row>
    <row r="26" spans="1:4" ht="14.25" x14ac:dyDescent="0.2">
      <c r="A26" s="143"/>
      <c r="B26" s="144"/>
      <c r="C26" s="133"/>
      <c r="D26" s="133"/>
    </row>
    <row r="27" spans="1:4" ht="14.25" x14ac:dyDescent="0.2">
      <c r="A27" s="143"/>
      <c r="B27" s="144"/>
      <c r="C27" s="133"/>
      <c r="D27" s="133"/>
    </row>
    <row r="28" spans="1:4" ht="14.25" x14ac:dyDescent="0.2">
      <c r="A28" s="143"/>
      <c r="B28" s="144"/>
      <c r="C28" s="133"/>
      <c r="D28" s="133"/>
    </row>
    <row r="29" spans="1:4" ht="14.25" x14ac:dyDescent="0.2">
      <c r="A29" s="143"/>
      <c r="B29" s="144"/>
      <c r="C29" s="133"/>
      <c r="D29" s="133"/>
    </row>
    <row r="30" spans="1:4" ht="14.25" x14ac:dyDescent="0.2">
      <c r="A30" s="143"/>
      <c r="B30" s="144"/>
      <c r="C30" s="133"/>
      <c r="D30" s="133"/>
    </row>
    <row r="31" spans="1:4" ht="14.25" x14ac:dyDescent="0.2">
      <c r="A31" s="143"/>
      <c r="B31" s="144"/>
      <c r="C31" s="133"/>
      <c r="D31" s="133"/>
    </row>
    <row r="32" spans="1:4" ht="14.25" x14ac:dyDescent="0.2">
      <c r="A32" s="143"/>
      <c r="B32" s="144"/>
      <c r="C32" s="133"/>
      <c r="D32" s="133"/>
    </row>
    <row r="33" spans="1:4" ht="14.25" x14ac:dyDescent="0.2">
      <c r="A33" s="143"/>
      <c r="B33" s="144"/>
      <c r="C33" s="133"/>
      <c r="D33" s="133"/>
    </row>
    <row r="34" spans="1:4" ht="14.25" x14ac:dyDescent="0.2">
      <c r="A34" s="143"/>
      <c r="B34" s="144"/>
      <c r="C34" s="133"/>
      <c r="D34" s="133"/>
    </row>
    <row r="35" spans="1:4" ht="14.25" x14ac:dyDescent="0.2">
      <c r="A35" s="143"/>
      <c r="B35" s="144"/>
      <c r="C35" s="133"/>
      <c r="D35" s="133"/>
    </row>
    <row r="36" spans="1:4" ht="14.25" x14ac:dyDescent="0.2">
      <c r="A36" s="143"/>
      <c r="B36" s="144"/>
      <c r="C36" s="133"/>
      <c r="D36" s="133"/>
    </row>
    <row r="37" spans="1:4" ht="14.25" x14ac:dyDescent="0.2">
      <c r="A37" s="143"/>
      <c r="B37" s="144"/>
      <c r="C37" s="133"/>
      <c r="D37" s="133"/>
    </row>
    <row r="38" spans="1:4" ht="14.25" x14ac:dyDescent="0.2">
      <c r="A38" s="143"/>
      <c r="B38" s="144"/>
      <c r="C38" s="133"/>
      <c r="D38" s="133"/>
    </row>
    <row r="39" spans="1:4" ht="14.25" x14ac:dyDescent="0.2">
      <c r="A39" s="143"/>
      <c r="B39" s="144"/>
      <c r="C39" s="133"/>
      <c r="D39" s="133"/>
    </row>
    <row r="40" spans="1:4" ht="14.25" x14ac:dyDescent="0.2">
      <c r="A40" s="143"/>
      <c r="B40" s="144"/>
      <c r="C40" s="133"/>
      <c r="D40" s="133"/>
    </row>
    <row r="41" spans="1:4" ht="14.25" x14ac:dyDescent="0.2">
      <c r="A41" s="143"/>
      <c r="B41" s="144"/>
      <c r="C41" s="133"/>
      <c r="D41" s="133"/>
    </row>
    <row r="42" spans="1:4" ht="14.25" x14ac:dyDescent="0.2">
      <c r="A42" s="143"/>
      <c r="B42" s="144"/>
      <c r="C42" s="133"/>
      <c r="D42" s="133"/>
    </row>
    <row r="43" spans="1:4" ht="14.25" x14ac:dyDescent="0.2">
      <c r="A43" s="143"/>
      <c r="B43" s="144"/>
      <c r="C43" s="133"/>
      <c r="D43" s="133"/>
    </row>
    <row r="44" spans="1:4" ht="14.25" x14ac:dyDescent="0.2">
      <c r="A44" s="143"/>
      <c r="B44" s="144"/>
      <c r="C44" s="133"/>
      <c r="D44" s="133"/>
    </row>
    <row r="45" spans="1:4" ht="14.25" x14ac:dyDescent="0.2">
      <c r="A45" s="143"/>
      <c r="B45" s="144"/>
      <c r="C45" s="133"/>
      <c r="D45" s="133"/>
    </row>
    <row r="46" spans="1:4" ht="14.25" x14ac:dyDescent="0.2">
      <c r="A46" s="143"/>
      <c r="B46" s="144"/>
      <c r="C46" s="133"/>
      <c r="D46" s="133"/>
    </row>
    <row r="47" spans="1:4" ht="14.25" x14ac:dyDescent="0.2">
      <c r="A47" s="143"/>
      <c r="B47" s="144"/>
      <c r="C47" s="133"/>
      <c r="D47" s="133"/>
    </row>
    <row r="48" spans="1:4" ht="14.25" x14ac:dyDescent="0.2">
      <c r="A48" s="143"/>
      <c r="B48" s="144"/>
      <c r="C48" s="133"/>
      <c r="D48" s="133"/>
    </row>
    <row r="49" spans="1:4" ht="14.25" x14ac:dyDescent="0.2">
      <c r="A49" s="143"/>
      <c r="B49" s="144"/>
      <c r="C49" s="133"/>
      <c r="D49" s="133"/>
    </row>
    <row r="50" spans="1:4" ht="14.25" x14ac:dyDescent="0.2">
      <c r="A50" s="143"/>
      <c r="B50" s="144"/>
      <c r="C50" s="133"/>
      <c r="D50" s="133"/>
    </row>
    <row r="51" spans="1:4" ht="14.25" x14ac:dyDescent="0.2">
      <c r="A51" s="143"/>
      <c r="B51" s="144"/>
      <c r="C51" s="133"/>
      <c r="D51" s="133"/>
    </row>
    <row r="52" spans="1:4" ht="14.25" x14ac:dyDescent="0.2">
      <c r="A52" s="143"/>
      <c r="B52" s="144"/>
      <c r="C52" s="133"/>
      <c r="D52" s="133"/>
    </row>
    <row r="53" spans="1:4" ht="14.25" x14ac:dyDescent="0.2">
      <c r="A53" s="143"/>
      <c r="B53" s="144"/>
      <c r="C53" s="133"/>
      <c r="D53" s="133"/>
    </row>
    <row r="54" spans="1:4" ht="14.25" x14ac:dyDescent="0.2">
      <c r="A54" s="143"/>
      <c r="B54" s="144"/>
      <c r="C54" s="133"/>
      <c r="D54" s="133"/>
    </row>
    <row r="55" spans="1:4" ht="14.25" x14ac:dyDescent="0.2">
      <c r="A55" s="143"/>
      <c r="B55" s="144"/>
      <c r="C55" s="133"/>
      <c r="D55" s="133"/>
    </row>
    <row r="56" spans="1:4" ht="14.25" x14ac:dyDescent="0.2">
      <c r="A56" s="143"/>
      <c r="B56" s="144"/>
      <c r="C56" s="133"/>
      <c r="D56" s="133"/>
    </row>
    <row r="57" spans="1:4" ht="14.25" x14ac:dyDescent="0.2">
      <c r="A57" s="143"/>
      <c r="B57" s="144"/>
      <c r="C57" s="133"/>
      <c r="D57" s="133"/>
    </row>
    <row r="58" spans="1:4" ht="14.25" x14ac:dyDescent="0.2">
      <c r="A58" s="143"/>
      <c r="B58" s="144"/>
      <c r="C58" s="133"/>
      <c r="D58" s="133"/>
    </row>
    <row r="59" spans="1:4" ht="14.25" x14ac:dyDescent="0.2">
      <c r="A59" s="143"/>
      <c r="B59" s="144"/>
      <c r="C59" s="133"/>
      <c r="D59" s="133"/>
    </row>
    <row r="60" spans="1:4" ht="14.25" x14ac:dyDescent="0.2">
      <c r="A60" s="143"/>
      <c r="B60" s="144"/>
      <c r="C60" s="133"/>
      <c r="D60" s="133"/>
    </row>
    <row r="61" spans="1:4" ht="14.25" x14ac:dyDescent="0.2">
      <c r="A61" s="143"/>
      <c r="B61" s="144"/>
      <c r="C61" s="133"/>
      <c r="D61" s="133"/>
    </row>
    <row r="62" spans="1:4" ht="14.25" x14ac:dyDescent="0.2">
      <c r="A62" s="143"/>
      <c r="B62" s="144"/>
      <c r="C62" s="133"/>
      <c r="D62" s="133"/>
    </row>
    <row r="63" spans="1:4" ht="14.25" x14ac:dyDescent="0.2">
      <c r="A63" s="143"/>
      <c r="B63" s="144"/>
      <c r="C63" s="133"/>
      <c r="D63" s="133"/>
    </row>
    <row r="64" spans="1:4" ht="14.25" x14ac:dyDescent="0.2">
      <c r="A64" s="143"/>
      <c r="B64" s="144"/>
      <c r="C64" s="133"/>
      <c r="D64" s="133"/>
    </row>
    <row r="65" spans="1:4" ht="14.25" x14ac:dyDescent="0.2">
      <c r="A65" s="143"/>
      <c r="B65" s="144"/>
      <c r="C65" s="133"/>
      <c r="D65" s="133"/>
    </row>
    <row r="66" spans="1:4" ht="14.25" x14ac:dyDescent="0.2">
      <c r="A66" s="143"/>
      <c r="B66" s="144"/>
      <c r="C66" s="133"/>
      <c r="D66" s="133"/>
    </row>
    <row r="67" spans="1:4" ht="14.25" x14ac:dyDescent="0.2">
      <c r="A67" s="143"/>
      <c r="B67" s="144"/>
      <c r="C67" s="133"/>
      <c r="D67" s="133"/>
    </row>
    <row r="68" spans="1:4" ht="14.25" x14ac:dyDescent="0.2">
      <c r="A68" s="143"/>
      <c r="B68" s="144"/>
      <c r="C68" s="133"/>
      <c r="D68" s="133"/>
    </row>
    <row r="69" spans="1:4" ht="14.25" x14ac:dyDescent="0.2">
      <c r="A69" s="143"/>
      <c r="B69" s="144"/>
      <c r="C69" s="133"/>
      <c r="D69" s="133"/>
    </row>
    <row r="70" spans="1:4" ht="14.25" x14ac:dyDescent="0.2">
      <c r="A70" s="143"/>
      <c r="B70" s="144"/>
      <c r="C70" s="133"/>
      <c r="D70" s="133"/>
    </row>
    <row r="71" spans="1:4" ht="14.25" x14ac:dyDescent="0.2">
      <c r="A71" s="143"/>
      <c r="B71" s="144"/>
      <c r="C71" s="133"/>
      <c r="D71" s="133"/>
    </row>
    <row r="72" spans="1:4" ht="14.25" x14ac:dyDescent="0.2">
      <c r="A72" s="143"/>
      <c r="B72" s="144"/>
      <c r="C72" s="133"/>
      <c r="D72" s="133"/>
    </row>
    <row r="73" spans="1:4" ht="14.25" x14ac:dyDescent="0.2">
      <c r="A73" s="143"/>
      <c r="B73" s="144"/>
      <c r="C73" s="133"/>
      <c r="D73" s="133"/>
    </row>
    <row r="74" spans="1:4" ht="14.25" x14ac:dyDescent="0.2">
      <c r="A74" s="143"/>
      <c r="B74" s="144"/>
      <c r="C74" s="133"/>
      <c r="D74" s="133"/>
    </row>
    <row r="75" spans="1:4" ht="14.25" x14ac:dyDescent="0.2">
      <c r="A75" s="143"/>
      <c r="B75" s="144"/>
      <c r="C75" s="133"/>
      <c r="D75" s="133"/>
    </row>
    <row r="76" spans="1:4" ht="14.25" x14ac:dyDescent="0.2">
      <c r="A76" s="143"/>
      <c r="B76" s="144"/>
      <c r="C76" s="133"/>
      <c r="D76" s="133"/>
    </row>
    <row r="77" spans="1:4" ht="14.25" x14ac:dyDescent="0.2">
      <c r="A77" s="143"/>
      <c r="B77" s="144"/>
      <c r="C77" s="133"/>
      <c r="D77" s="133"/>
    </row>
    <row r="78" spans="1:4" ht="14.25" x14ac:dyDescent="0.2">
      <c r="A78" s="143"/>
      <c r="B78" s="144"/>
      <c r="C78" s="133"/>
      <c r="D78" s="133"/>
    </row>
    <row r="79" spans="1:4" ht="14.25" x14ac:dyDescent="0.2">
      <c r="A79" s="143"/>
      <c r="B79" s="144"/>
      <c r="C79" s="133"/>
      <c r="D79" s="133"/>
    </row>
    <row r="80" spans="1:4" ht="14.25" x14ac:dyDescent="0.2">
      <c r="A80" s="143"/>
      <c r="B80" s="144"/>
      <c r="C80" s="133"/>
      <c r="D80" s="133"/>
    </row>
    <row r="81" spans="1:4" ht="14.25" x14ac:dyDescent="0.2">
      <c r="A81" s="143"/>
      <c r="B81" s="144"/>
      <c r="C81" s="133"/>
      <c r="D81" s="133"/>
    </row>
    <row r="82" spans="1:4" ht="14.25" x14ac:dyDescent="0.2">
      <c r="A82" s="143"/>
      <c r="B82" s="144"/>
      <c r="C82" s="133"/>
      <c r="D82" s="133"/>
    </row>
    <row r="83" spans="1:4" ht="14.25" x14ac:dyDescent="0.2">
      <c r="A83" s="143"/>
      <c r="B83" s="144"/>
      <c r="C83" s="133"/>
      <c r="D83" s="133"/>
    </row>
    <row r="84" spans="1:4" ht="14.25" x14ac:dyDescent="0.2">
      <c r="A84" s="143"/>
      <c r="B84" s="144"/>
      <c r="C84" s="133"/>
      <c r="D84" s="133"/>
    </row>
    <row r="85" spans="1:4" ht="14.25" x14ac:dyDescent="0.2">
      <c r="A85" s="143"/>
      <c r="B85" s="144"/>
      <c r="C85" s="133"/>
      <c r="D85" s="133"/>
    </row>
    <row r="86" spans="1:4" ht="14.25" x14ac:dyDescent="0.2">
      <c r="A86" s="143"/>
      <c r="B86" s="144"/>
      <c r="C86" s="133"/>
      <c r="D86" s="133"/>
    </row>
    <row r="87" spans="1:4" ht="14.25" x14ac:dyDescent="0.2">
      <c r="A87" s="143"/>
      <c r="B87" s="144"/>
      <c r="C87" s="133"/>
      <c r="D87" s="133"/>
    </row>
    <row r="88" spans="1:4" ht="14.25" x14ac:dyDescent="0.2">
      <c r="A88" s="143"/>
      <c r="B88" s="144"/>
      <c r="C88" s="133"/>
      <c r="D88" s="133"/>
    </row>
    <row r="89" spans="1:4" ht="14.25" x14ac:dyDescent="0.2">
      <c r="A89" s="143"/>
      <c r="B89" s="144"/>
      <c r="C89" s="133"/>
      <c r="D89" s="133"/>
    </row>
    <row r="90" spans="1:4" ht="14.25" x14ac:dyDescent="0.2">
      <c r="A90" s="143"/>
      <c r="B90" s="144"/>
      <c r="C90" s="133"/>
      <c r="D90" s="133"/>
    </row>
    <row r="91" spans="1:4" ht="14.25" x14ac:dyDescent="0.2">
      <c r="A91" s="143"/>
      <c r="B91" s="144"/>
      <c r="C91" s="133"/>
      <c r="D91" s="133"/>
    </row>
    <row r="92" spans="1:4" ht="14.25" x14ac:dyDescent="0.2">
      <c r="A92" s="143"/>
      <c r="B92" s="144"/>
      <c r="C92" s="133"/>
      <c r="D92" s="133"/>
    </row>
    <row r="93" spans="1:4" ht="14.25" x14ac:dyDescent="0.2">
      <c r="A93" s="143"/>
      <c r="B93" s="144"/>
      <c r="C93" s="133"/>
      <c r="D93" s="133"/>
    </row>
    <row r="94" spans="1:4" ht="14.25" x14ac:dyDescent="0.2">
      <c r="A94" s="143"/>
      <c r="B94" s="144"/>
      <c r="C94" s="133"/>
      <c r="D94" s="133"/>
    </row>
    <row r="95" spans="1:4" ht="14.25" x14ac:dyDescent="0.2">
      <c r="A95" s="143"/>
      <c r="B95" s="144"/>
      <c r="C95" s="133"/>
      <c r="D95" s="133"/>
    </row>
    <row r="96" spans="1:4" ht="14.25" x14ac:dyDescent="0.2">
      <c r="A96" s="143"/>
      <c r="B96" s="144"/>
      <c r="C96" s="133"/>
      <c r="D96" s="133"/>
    </row>
    <row r="97" spans="1:4" ht="14.25" x14ac:dyDescent="0.2">
      <c r="A97" s="143"/>
      <c r="B97" s="144"/>
      <c r="C97" s="133"/>
      <c r="D97" s="133"/>
    </row>
    <row r="98" spans="1:4" ht="14.25" x14ac:dyDescent="0.2">
      <c r="A98" s="143"/>
      <c r="B98" s="144"/>
      <c r="C98" s="133"/>
      <c r="D98" s="133"/>
    </row>
    <row r="99" spans="1:4" ht="14.25" x14ac:dyDescent="0.2">
      <c r="A99" s="143"/>
      <c r="B99" s="144"/>
      <c r="C99" s="133"/>
      <c r="D99" s="133"/>
    </row>
    <row r="100" spans="1:4" ht="14.25" x14ac:dyDescent="0.2">
      <c r="A100" s="143"/>
      <c r="B100" s="144"/>
      <c r="C100" s="133"/>
      <c r="D100" s="133"/>
    </row>
    <row r="101" spans="1:4" ht="14.25" x14ac:dyDescent="0.2">
      <c r="A101" s="143"/>
      <c r="B101" s="144"/>
      <c r="C101" s="133"/>
      <c r="D101" s="133"/>
    </row>
    <row r="102" spans="1:4" ht="14.25" x14ac:dyDescent="0.2">
      <c r="A102" s="143"/>
      <c r="B102" s="144"/>
      <c r="C102" s="133"/>
      <c r="D102" s="133"/>
    </row>
    <row r="103" spans="1:4" ht="14.25" x14ac:dyDescent="0.2">
      <c r="A103" s="143"/>
      <c r="B103" s="144"/>
      <c r="C103" s="133"/>
      <c r="D103" s="133"/>
    </row>
    <row r="104" spans="1:4" ht="14.25" x14ac:dyDescent="0.2">
      <c r="A104" s="143"/>
      <c r="B104" s="144"/>
      <c r="C104" s="133"/>
      <c r="D104" s="133"/>
    </row>
    <row r="105" spans="1:4" ht="14.25" x14ac:dyDescent="0.2">
      <c r="A105" s="143"/>
      <c r="B105" s="144"/>
      <c r="C105" s="133"/>
      <c r="D105" s="133"/>
    </row>
    <row r="106" spans="1:4" ht="14.25" x14ac:dyDescent="0.2">
      <c r="A106" s="143"/>
      <c r="B106" s="144"/>
      <c r="C106" s="133"/>
      <c r="D106" s="133"/>
    </row>
    <row r="107" spans="1:4" ht="14.25" x14ac:dyDescent="0.2">
      <c r="A107" s="143"/>
      <c r="B107" s="144"/>
      <c r="C107" s="133"/>
      <c r="D107" s="133"/>
    </row>
    <row r="108" spans="1:4" ht="14.25" x14ac:dyDescent="0.2">
      <c r="A108" s="143"/>
      <c r="B108" s="144"/>
      <c r="C108" s="133"/>
      <c r="D108" s="133"/>
    </row>
    <row r="109" spans="1:4" ht="14.25" x14ac:dyDescent="0.2">
      <c r="A109" s="143"/>
      <c r="B109" s="144"/>
      <c r="C109" s="133"/>
      <c r="D109" s="133"/>
    </row>
    <row r="110" spans="1:4" x14ac:dyDescent="0.2">
      <c r="A110" s="132"/>
      <c r="B110" s="133"/>
      <c r="C110" s="133"/>
      <c r="D110" s="133"/>
    </row>
    <row r="111" spans="1:4" x14ac:dyDescent="0.2">
      <c r="A111" s="132"/>
      <c r="B111" s="133"/>
      <c r="C111" s="133"/>
      <c r="D111" s="133"/>
    </row>
    <row r="112" spans="1:4" x14ac:dyDescent="0.2">
      <c r="A112" s="132"/>
      <c r="B112" s="133"/>
      <c r="C112" s="133"/>
      <c r="D112" s="133"/>
    </row>
    <row r="113" spans="1:4" x14ac:dyDescent="0.2">
      <c r="A113" s="132"/>
      <c r="B113" s="133"/>
      <c r="C113" s="133"/>
      <c r="D113" s="133"/>
    </row>
    <row r="114" spans="1:4" x14ac:dyDescent="0.2">
      <c r="A114" s="132"/>
      <c r="B114" s="133"/>
      <c r="C114" s="133"/>
      <c r="D114" s="133"/>
    </row>
    <row r="115" spans="1:4" x14ac:dyDescent="0.2">
      <c r="A115" s="132"/>
      <c r="B115" s="133"/>
      <c r="C115" s="133"/>
      <c r="D115" s="133"/>
    </row>
    <row r="116" spans="1:4" x14ac:dyDescent="0.2">
      <c r="A116" s="132"/>
      <c r="B116" s="133"/>
      <c r="C116" s="133"/>
      <c r="D116" s="133"/>
    </row>
    <row r="117" spans="1:4" x14ac:dyDescent="0.2">
      <c r="A117" s="132"/>
      <c r="B117" s="133"/>
      <c r="C117" s="133"/>
      <c r="D117" s="133"/>
    </row>
    <row r="118" spans="1:4" x14ac:dyDescent="0.2">
      <c r="A118" s="132"/>
      <c r="B118" s="133"/>
      <c r="C118" s="133"/>
      <c r="D118" s="133"/>
    </row>
    <row r="119" spans="1:4" x14ac:dyDescent="0.2">
      <c r="A119" s="132"/>
      <c r="B119" s="133"/>
      <c r="C119" s="133"/>
      <c r="D119" s="133"/>
    </row>
    <row r="120" spans="1:4" x14ac:dyDescent="0.2">
      <c r="A120" s="132"/>
      <c r="B120" s="133"/>
      <c r="C120" s="133"/>
      <c r="D120" s="133"/>
    </row>
    <row r="121" spans="1:4" x14ac:dyDescent="0.2">
      <c r="A121" s="132"/>
      <c r="B121" s="133"/>
      <c r="C121" s="133"/>
      <c r="D121" s="133"/>
    </row>
    <row r="122" spans="1:4" x14ac:dyDescent="0.2">
      <c r="A122" s="132"/>
      <c r="B122" s="133"/>
      <c r="C122" s="133"/>
      <c r="D122" s="133"/>
    </row>
    <row r="123" spans="1:4" x14ac:dyDescent="0.2">
      <c r="A123" s="132"/>
      <c r="B123" s="133"/>
      <c r="C123" s="133"/>
      <c r="D123" s="133"/>
    </row>
    <row r="124" spans="1:4" x14ac:dyDescent="0.2">
      <c r="A124" s="132"/>
      <c r="B124" s="133"/>
      <c r="C124" s="133"/>
      <c r="D124" s="133"/>
    </row>
    <row r="125" spans="1:4" x14ac:dyDescent="0.2">
      <c r="A125" s="132"/>
      <c r="B125" s="133"/>
      <c r="C125" s="133"/>
      <c r="D125" s="133"/>
    </row>
    <row r="126" spans="1:4" x14ac:dyDescent="0.2">
      <c r="A126" s="132"/>
      <c r="B126" s="133"/>
      <c r="C126" s="133"/>
      <c r="D126" s="133"/>
    </row>
    <row r="127" spans="1:4" x14ac:dyDescent="0.2">
      <c r="A127" s="132"/>
      <c r="B127" s="133"/>
      <c r="C127" s="133"/>
      <c r="D127" s="133"/>
    </row>
    <row r="128" spans="1:4" x14ac:dyDescent="0.2">
      <c r="A128" s="132"/>
      <c r="B128" s="133"/>
      <c r="C128" s="133"/>
      <c r="D128" s="133"/>
    </row>
    <row r="129" spans="1:4" x14ac:dyDescent="0.2">
      <c r="A129" s="132"/>
      <c r="B129" s="133"/>
      <c r="C129" s="133"/>
      <c r="D129" s="133"/>
    </row>
    <row r="130" spans="1:4" x14ac:dyDescent="0.2">
      <c r="A130" s="132"/>
      <c r="B130" s="133"/>
      <c r="C130" s="133"/>
      <c r="D130" s="133"/>
    </row>
    <row r="131" spans="1:4" x14ac:dyDescent="0.2">
      <c r="A131" s="132"/>
      <c r="B131" s="133"/>
      <c r="C131" s="133"/>
      <c r="D131" s="133"/>
    </row>
    <row r="132" spans="1:4" x14ac:dyDescent="0.2">
      <c r="A132" s="132"/>
      <c r="B132" s="133"/>
      <c r="C132" s="133"/>
      <c r="D132" s="133"/>
    </row>
    <row r="133" spans="1:4" x14ac:dyDescent="0.2">
      <c r="A133" s="132"/>
      <c r="B133" s="133"/>
      <c r="C133" s="133"/>
      <c r="D133" s="133"/>
    </row>
    <row r="134" spans="1:4" x14ac:dyDescent="0.2">
      <c r="A134" s="132"/>
      <c r="B134" s="133"/>
      <c r="C134" s="133"/>
      <c r="D134" s="133"/>
    </row>
    <row r="135" spans="1:4" x14ac:dyDescent="0.2">
      <c r="A135" s="132"/>
      <c r="B135" s="133"/>
      <c r="C135" s="133"/>
      <c r="D135" s="133"/>
    </row>
    <row r="136" spans="1:4" x14ac:dyDescent="0.2">
      <c r="A136" s="132"/>
      <c r="B136" s="133"/>
      <c r="C136" s="133"/>
      <c r="D136" s="133"/>
    </row>
    <row r="137" spans="1:4" x14ac:dyDescent="0.2">
      <c r="A137" s="132"/>
      <c r="B137" s="133"/>
      <c r="C137" s="133"/>
      <c r="D137" s="133"/>
    </row>
    <row r="138" spans="1:4" x14ac:dyDescent="0.2">
      <c r="A138" s="132"/>
      <c r="B138" s="133"/>
      <c r="C138" s="133"/>
      <c r="D138" s="133"/>
    </row>
    <row r="139" spans="1:4" x14ac:dyDescent="0.2">
      <c r="A139" s="132"/>
      <c r="B139" s="133"/>
      <c r="C139" s="133"/>
      <c r="D139" s="133"/>
    </row>
    <row r="140" spans="1:4" x14ac:dyDescent="0.2">
      <c r="A140" s="132"/>
      <c r="B140" s="133"/>
      <c r="C140" s="133"/>
      <c r="D140" s="133"/>
    </row>
    <row r="141" spans="1:4" x14ac:dyDescent="0.2">
      <c r="A141" s="132"/>
      <c r="B141" s="133"/>
      <c r="C141" s="133"/>
      <c r="D141" s="133"/>
    </row>
    <row r="142" spans="1:4" x14ac:dyDescent="0.2">
      <c r="A142" s="132"/>
      <c r="B142" s="133"/>
      <c r="C142" s="133"/>
      <c r="D142" s="133"/>
    </row>
    <row r="143" spans="1:4" x14ac:dyDescent="0.2">
      <c r="A143" s="132"/>
      <c r="B143" s="133"/>
      <c r="C143" s="133"/>
      <c r="D143" s="133"/>
    </row>
    <row r="144" spans="1:4" x14ac:dyDescent="0.2">
      <c r="A144" s="132"/>
      <c r="B144" s="133"/>
      <c r="C144" s="133"/>
      <c r="D144" s="133"/>
    </row>
    <row r="145" spans="1:4" x14ac:dyDescent="0.2">
      <c r="A145" s="132"/>
      <c r="B145" s="133"/>
      <c r="C145" s="133"/>
      <c r="D145" s="133"/>
    </row>
    <row r="146" spans="1:4" x14ac:dyDescent="0.2">
      <c r="A146" s="132"/>
      <c r="B146" s="133"/>
      <c r="C146" s="133"/>
      <c r="D146" s="133"/>
    </row>
    <row r="147" spans="1:4" x14ac:dyDescent="0.2">
      <c r="A147" s="132"/>
      <c r="B147" s="133"/>
      <c r="C147" s="133"/>
      <c r="D147" s="133"/>
    </row>
    <row r="148" spans="1:4" x14ac:dyDescent="0.2">
      <c r="A148" s="132"/>
      <c r="B148" s="133"/>
      <c r="C148" s="133"/>
      <c r="D148" s="133"/>
    </row>
    <row r="149" spans="1:4" x14ac:dyDescent="0.2">
      <c r="A149" s="132"/>
      <c r="B149" s="133"/>
      <c r="C149" s="133"/>
      <c r="D149" s="133"/>
    </row>
    <row r="150" spans="1:4" x14ac:dyDescent="0.2">
      <c r="A150" s="132"/>
      <c r="B150" s="133"/>
      <c r="C150" s="133"/>
      <c r="D150" s="133"/>
    </row>
    <row r="151" spans="1:4" x14ac:dyDescent="0.2">
      <c r="A151" s="132"/>
      <c r="B151" s="133"/>
      <c r="C151" s="133"/>
      <c r="D151" s="133"/>
    </row>
    <row r="152" spans="1:4" x14ac:dyDescent="0.2">
      <c r="A152" s="132"/>
      <c r="B152" s="133"/>
      <c r="C152" s="133"/>
      <c r="D152" s="133"/>
    </row>
    <row r="153" spans="1:4" x14ac:dyDescent="0.2">
      <c r="A153" s="132"/>
      <c r="B153" s="133"/>
      <c r="C153" s="133"/>
      <c r="D153" s="133"/>
    </row>
    <row r="154" spans="1:4" x14ac:dyDescent="0.2">
      <c r="A154" s="132"/>
      <c r="B154" s="133"/>
      <c r="C154" s="133"/>
      <c r="D154" s="133"/>
    </row>
    <row r="155" spans="1:4" x14ac:dyDescent="0.2">
      <c r="A155" s="132"/>
      <c r="B155" s="133"/>
      <c r="C155" s="133"/>
      <c r="D155" s="133"/>
    </row>
    <row r="156" spans="1:4" x14ac:dyDescent="0.2">
      <c r="A156" s="132"/>
      <c r="B156" s="133"/>
      <c r="C156" s="133"/>
      <c r="D156" s="133"/>
    </row>
    <row r="157" spans="1:4" x14ac:dyDescent="0.2">
      <c r="A157" s="132"/>
      <c r="B157" s="133"/>
      <c r="C157" s="133"/>
      <c r="D157" s="133"/>
    </row>
    <row r="158" spans="1:4" x14ac:dyDescent="0.2">
      <c r="A158" s="132"/>
      <c r="B158" s="133"/>
      <c r="C158" s="133"/>
      <c r="D158" s="133"/>
    </row>
    <row r="159" spans="1:4" x14ac:dyDescent="0.2">
      <c r="A159" s="132"/>
      <c r="B159" s="133"/>
      <c r="C159" s="133"/>
      <c r="D159" s="133"/>
    </row>
    <row r="160" spans="1:4" x14ac:dyDescent="0.2">
      <c r="A160" s="132"/>
      <c r="B160" s="133"/>
      <c r="C160" s="133"/>
      <c r="D160" s="133"/>
    </row>
    <row r="161" spans="1:4" x14ac:dyDescent="0.2">
      <c r="A161" s="132"/>
      <c r="B161" s="133"/>
      <c r="C161" s="133"/>
      <c r="D161" s="133"/>
    </row>
    <row r="162" spans="1:4" x14ac:dyDescent="0.2">
      <c r="A162" s="132"/>
      <c r="B162" s="133"/>
      <c r="C162" s="133"/>
      <c r="D162" s="133"/>
    </row>
    <row r="163" spans="1:4" x14ac:dyDescent="0.2">
      <c r="A163" s="132"/>
      <c r="B163" s="133"/>
      <c r="C163" s="133"/>
      <c r="D163" s="133"/>
    </row>
    <row r="164" spans="1:4" x14ac:dyDescent="0.2">
      <c r="A164" s="132"/>
      <c r="B164" s="133"/>
      <c r="C164" s="133"/>
      <c r="D164" s="133"/>
    </row>
    <row r="165" spans="1:4" x14ac:dyDescent="0.2">
      <c r="A165" s="132"/>
      <c r="B165" s="133"/>
      <c r="C165" s="133"/>
      <c r="D165" s="133"/>
    </row>
    <row r="166" spans="1:4" x14ac:dyDescent="0.2">
      <c r="A166" s="132"/>
      <c r="B166" s="133"/>
      <c r="C166" s="133"/>
      <c r="D166" s="133"/>
    </row>
    <row r="167" spans="1:4" x14ac:dyDescent="0.2">
      <c r="A167" s="132"/>
      <c r="B167" s="133"/>
      <c r="C167" s="133"/>
      <c r="D167" s="133"/>
    </row>
    <row r="168" spans="1:4" x14ac:dyDescent="0.2">
      <c r="A168" s="132"/>
      <c r="B168" s="133"/>
      <c r="C168" s="133"/>
      <c r="D168" s="133"/>
    </row>
    <row r="169" spans="1:4" x14ac:dyDescent="0.2">
      <c r="A169" s="132"/>
      <c r="B169" s="133"/>
      <c r="C169" s="133"/>
      <c r="D169" s="133"/>
    </row>
    <row r="170" spans="1:4" x14ac:dyDescent="0.2">
      <c r="A170" s="132"/>
      <c r="B170" s="133"/>
      <c r="C170" s="133"/>
      <c r="D170" s="133"/>
    </row>
    <row r="171" spans="1:4" x14ac:dyDescent="0.2">
      <c r="A171" s="132"/>
      <c r="B171" s="133"/>
      <c r="C171" s="133"/>
      <c r="D171" s="133"/>
    </row>
    <row r="172" spans="1:4" x14ac:dyDescent="0.2">
      <c r="A172" s="132"/>
      <c r="B172" s="133"/>
      <c r="C172" s="133"/>
      <c r="D172" s="133"/>
    </row>
    <row r="173" spans="1:4" x14ac:dyDescent="0.2">
      <c r="A173" s="132"/>
      <c r="B173" s="133"/>
      <c r="C173" s="133"/>
      <c r="D173" s="133"/>
    </row>
    <row r="174" spans="1:4" x14ac:dyDescent="0.2">
      <c r="A174" s="132"/>
      <c r="B174" s="133"/>
      <c r="C174" s="133"/>
      <c r="D174" s="133"/>
    </row>
    <row r="175" spans="1:4" x14ac:dyDescent="0.2">
      <c r="A175" s="132"/>
      <c r="B175" s="133"/>
      <c r="C175" s="133"/>
      <c r="D175" s="133"/>
    </row>
    <row r="176" spans="1:4" x14ac:dyDescent="0.2">
      <c r="A176" s="132"/>
      <c r="B176" s="133"/>
      <c r="C176" s="133"/>
      <c r="D176" s="133"/>
    </row>
    <row r="177" spans="1:4" x14ac:dyDescent="0.2">
      <c r="A177" s="132"/>
      <c r="B177" s="133"/>
      <c r="C177" s="133"/>
      <c r="D177" s="133"/>
    </row>
    <row r="178" spans="1:4" x14ac:dyDescent="0.2">
      <c r="A178" s="132"/>
      <c r="B178" s="133"/>
      <c r="C178" s="133"/>
      <c r="D178" s="133"/>
    </row>
    <row r="179" spans="1:4" x14ac:dyDescent="0.2">
      <c r="A179" s="132"/>
      <c r="B179" s="133"/>
      <c r="C179" s="133"/>
      <c r="D179" s="133"/>
    </row>
    <row r="180" spans="1:4" x14ac:dyDescent="0.2">
      <c r="A180" s="132"/>
      <c r="B180" s="133"/>
      <c r="C180" s="133"/>
      <c r="D180" s="133"/>
    </row>
    <row r="181" spans="1:4" x14ac:dyDescent="0.2">
      <c r="A181" s="132"/>
      <c r="B181" s="133"/>
      <c r="C181" s="133"/>
      <c r="D181" s="133"/>
    </row>
    <row r="182" spans="1:4" x14ac:dyDescent="0.2">
      <c r="A182" s="132"/>
      <c r="B182" s="133"/>
      <c r="C182" s="133"/>
      <c r="D182" s="133"/>
    </row>
    <row r="183" spans="1:4" x14ac:dyDescent="0.2">
      <c r="A183" s="132"/>
      <c r="B183" s="133"/>
      <c r="C183" s="133"/>
      <c r="D183" s="133"/>
    </row>
    <row r="184" spans="1:4" x14ac:dyDescent="0.2">
      <c r="A184" s="132"/>
      <c r="B184" s="133"/>
      <c r="C184" s="133"/>
      <c r="D184" s="133"/>
    </row>
    <row r="185" spans="1:4" x14ac:dyDescent="0.2">
      <c r="A185" s="132"/>
      <c r="B185" s="133"/>
      <c r="C185" s="133"/>
      <c r="D185" s="133"/>
    </row>
    <row r="186" spans="1:4" x14ac:dyDescent="0.2">
      <c r="A186" s="132"/>
      <c r="B186" s="133"/>
      <c r="C186" s="133"/>
      <c r="D186" s="133"/>
    </row>
    <row r="187" spans="1:4" x14ac:dyDescent="0.2">
      <c r="A187" s="132"/>
      <c r="B187" s="133"/>
      <c r="C187" s="133"/>
      <c r="D187" s="133"/>
    </row>
    <row r="188" spans="1:4" x14ac:dyDescent="0.2">
      <c r="A188" s="132"/>
      <c r="B188" s="133"/>
      <c r="C188" s="133"/>
      <c r="D188" s="133"/>
    </row>
    <row r="189" spans="1:4" x14ac:dyDescent="0.2">
      <c r="A189" s="132"/>
      <c r="B189" s="133"/>
      <c r="C189" s="133"/>
      <c r="D189" s="133"/>
    </row>
    <row r="190" spans="1:4" x14ac:dyDescent="0.2">
      <c r="A190" s="132"/>
      <c r="B190" s="133"/>
      <c r="C190" s="133"/>
      <c r="D190" s="133"/>
    </row>
    <row r="191" spans="1:4" x14ac:dyDescent="0.2">
      <c r="A191" s="132"/>
      <c r="B191" s="133"/>
      <c r="C191" s="133"/>
      <c r="D191" s="133"/>
    </row>
    <row r="192" spans="1:4" x14ac:dyDescent="0.2">
      <c r="A192" s="132"/>
      <c r="B192" s="133"/>
      <c r="C192" s="133"/>
      <c r="D192" s="133"/>
    </row>
    <row r="193" spans="1:5" x14ac:dyDescent="0.2">
      <c r="A193" s="132"/>
      <c r="B193" s="133"/>
      <c r="C193" s="133"/>
      <c r="D193" s="133"/>
    </row>
    <row r="194" spans="1:5" x14ac:dyDescent="0.2">
      <c r="A194" s="132"/>
      <c r="B194" s="133"/>
      <c r="C194" s="133"/>
      <c r="D194" s="133"/>
    </row>
    <row r="195" spans="1:5" x14ac:dyDescent="0.2">
      <c r="A195" s="132"/>
      <c r="B195" s="133"/>
      <c r="C195" s="133"/>
      <c r="D195" s="133"/>
    </row>
    <row r="196" spans="1:5" x14ac:dyDescent="0.2">
      <c r="A196" s="132"/>
      <c r="B196" s="133"/>
      <c r="C196" s="133"/>
      <c r="D196" s="133"/>
    </row>
    <row r="197" spans="1:5" x14ac:dyDescent="0.2">
      <c r="A197" s="132"/>
      <c r="B197" s="133"/>
      <c r="C197" s="133"/>
      <c r="D197" s="133"/>
    </row>
    <row r="198" spans="1:5" x14ac:dyDescent="0.2">
      <c r="A198" s="132"/>
      <c r="B198" s="133"/>
      <c r="C198" s="133"/>
      <c r="D198" s="133"/>
    </row>
    <row r="199" spans="1:5" x14ac:dyDescent="0.2">
      <c r="A199" s="132"/>
      <c r="B199" s="133"/>
      <c r="C199" s="133"/>
      <c r="D199" s="133"/>
    </row>
    <row r="200" spans="1:5" x14ac:dyDescent="0.2">
      <c r="A200" s="132"/>
      <c r="B200" s="133"/>
      <c r="C200" s="133"/>
      <c r="D200" s="133"/>
    </row>
    <row r="201" spans="1:5" x14ac:dyDescent="0.2">
      <c r="A201" s="132"/>
      <c r="B201" s="133"/>
      <c r="C201" s="133"/>
      <c r="D201" s="133"/>
    </row>
    <row r="202" spans="1:5" x14ac:dyDescent="0.2">
      <c r="A202" s="132"/>
      <c r="B202" s="133"/>
      <c r="C202" s="133"/>
      <c r="D202" s="133"/>
    </row>
    <row r="203" spans="1:5" x14ac:dyDescent="0.2">
      <c r="A203" s="132"/>
      <c r="B203" s="133"/>
      <c r="C203" s="133"/>
      <c r="D203" s="133"/>
    </row>
    <row r="204" spans="1:5" x14ac:dyDescent="0.2">
      <c r="A204" s="132"/>
      <c r="B204" s="133"/>
      <c r="C204" s="133"/>
      <c r="D204" s="133"/>
      <c r="E204" s="133"/>
    </row>
    <row r="205" spans="1:5" x14ac:dyDescent="0.2">
      <c r="A205" s="132"/>
      <c r="B205" s="133"/>
      <c r="C205" s="133"/>
      <c r="D205" s="133"/>
      <c r="E205" s="133"/>
    </row>
    <row r="206" spans="1:5" x14ac:dyDescent="0.2">
      <c r="A206" s="132"/>
      <c r="B206" s="133"/>
      <c r="C206" s="133"/>
      <c r="D206" s="133"/>
      <c r="E206" s="133"/>
    </row>
    <row r="207" spans="1:5" x14ac:dyDescent="0.2">
      <c r="A207" s="132"/>
      <c r="B207" s="133"/>
      <c r="C207" s="133"/>
      <c r="D207" s="133"/>
      <c r="E207" s="133"/>
    </row>
    <row r="208" spans="1:5" x14ac:dyDescent="0.2">
      <c r="A208" s="132"/>
      <c r="B208" s="133"/>
      <c r="C208" s="133"/>
      <c r="D208" s="133"/>
      <c r="E208" s="133"/>
    </row>
    <row r="209" spans="1:5" x14ac:dyDescent="0.2">
      <c r="A209" s="132"/>
      <c r="B209" s="133"/>
      <c r="C209" s="133"/>
      <c r="D209" s="133"/>
      <c r="E209" s="133"/>
    </row>
    <row r="210" spans="1:5" x14ac:dyDescent="0.2">
      <c r="A210" s="132"/>
      <c r="B210" s="133"/>
      <c r="C210" s="133"/>
      <c r="D210" s="133"/>
      <c r="E210" s="133"/>
    </row>
    <row r="211" spans="1:5" x14ac:dyDescent="0.2">
      <c r="A211" s="132"/>
      <c r="B211" s="133"/>
      <c r="C211" s="133"/>
      <c r="D211" s="133"/>
      <c r="E211" s="133"/>
    </row>
    <row r="212" spans="1:5" x14ac:dyDescent="0.2">
      <c r="A212" s="132"/>
      <c r="B212" s="133"/>
      <c r="C212" s="133"/>
      <c r="D212" s="133"/>
      <c r="E212" s="133"/>
    </row>
    <row r="213" spans="1:5" x14ac:dyDescent="0.2">
      <c r="A213" s="132"/>
      <c r="B213" s="133"/>
      <c r="C213" s="133"/>
      <c r="D213" s="133"/>
      <c r="E213" s="133"/>
    </row>
    <row r="214" spans="1:5" x14ac:dyDescent="0.2">
      <c r="A214" s="132"/>
      <c r="B214" s="133"/>
      <c r="C214" s="133"/>
      <c r="D214" s="133"/>
      <c r="E214" s="133"/>
    </row>
    <row r="215" spans="1:5" x14ac:dyDescent="0.2">
      <c r="A215" s="132"/>
      <c r="B215" s="133"/>
      <c r="C215" s="133"/>
      <c r="D215" s="133"/>
      <c r="E215" s="133"/>
    </row>
    <row r="216" spans="1:5" x14ac:dyDescent="0.2">
      <c r="A216" s="132"/>
      <c r="B216" s="133"/>
      <c r="C216" s="133"/>
      <c r="D216" s="133"/>
      <c r="E216" s="133"/>
    </row>
    <row r="217" spans="1:5" x14ac:dyDescent="0.2">
      <c r="A217" s="132"/>
      <c r="B217" s="133"/>
      <c r="C217" s="133"/>
      <c r="D217" s="133"/>
      <c r="E217" s="133"/>
    </row>
    <row r="218" spans="1:5" x14ac:dyDescent="0.2">
      <c r="A218" s="132"/>
      <c r="B218" s="133"/>
      <c r="C218" s="133"/>
      <c r="D218" s="133"/>
      <c r="E218" s="133"/>
    </row>
    <row r="219" spans="1:5" x14ac:dyDescent="0.2">
      <c r="A219" s="132"/>
      <c r="B219" s="133"/>
      <c r="C219" s="133"/>
      <c r="D219" s="133"/>
      <c r="E219" s="133"/>
    </row>
    <row r="220" spans="1:5" x14ac:dyDescent="0.2">
      <c r="A220" s="132"/>
      <c r="B220" s="133"/>
      <c r="C220" s="133"/>
      <c r="D220" s="133"/>
      <c r="E220" s="133"/>
    </row>
    <row r="221" spans="1:5" x14ac:dyDescent="0.2">
      <c r="A221" s="132"/>
      <c r="B221" s="133"/>
      <c r="C221" s="133"/>
      <c r="D221" s="133"/>
      <c r="E221" s="133"/>
    </row>
    <row r="222" spans="1:5" x14ac:dyDescent="0.2">
      <c r="A222" s="132"/>
      <c r="B222" s="133"/>
      <c r="C222" s="133"/>
      <c r="D222" s="133"/>
      <c r="E222" s="133"/>
    </row>
    <row r="223" spans="1:5" x14ac:dyDescent="0.2">
      <c r="A223" s="132"/>
      <c r="B223" s="133"/>
      <c r="C223" s="133"/>
      <c r="D223" s="133"/>
      <c r="E223" s="133"/>
    </row>
    <row r="224" spans="1:5" x14ac:dyDescent="0.2">
      <c r="A224" s="132"/>
      <c r="B224" s="133"/>
      <c r="C224" s="133"/>
      <c r="D224" s="133"/>
      <c r="E224" s="133"/>
    </row>
    <row r="225" spans="1:5" x14ac:dyDescent="0.2">
      <c r="A225" s="132"/>
      <c r="B225" s="133"/>
      <c r="C225" s="133"/>
      <c r="D225" s="133"/>
      <c r="E225" s="133"/>
    </row>
    <row r="226" spans="1:5" x14ac:dyDescent="0.2">
      <c r="A226" s="132"/>
      <c r="B226" s="133"/>
      <c r="C226" s="133"/>
      <c r="D226" s="133"/>
      <c r="E226" s="133"/>
    </row>
    <row r="227" spans="1:5" x14ac:dyDescent="0.2">
      <c r="A227" s="132"/>
      <c r="B227" s="133"/>
      <c r="C227" s="133"/>
      <c r="D227" s="133"/>
      <c r="E227" s="133"/>
    </row>
    <row r="228" spans="1:5" x14ac:dyDescent="0.2">
      <c r="A228" s="132"/>
      <c r="B228" s="133"/>
      <c r="C228" s="133"/>
      <c r="D228" s="133"/>
      <c r="E228" s="133"/>
    </row>
    <row r="229" spans="1:5" x14ac:dyDescent="0.2">
      <c r="A229" s="132"/>
      <c r="B229" s="133"/>
      <c r="C229" s="133"/>
      <c r="D229" s="133"/>
      <c r="E229" s="133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4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60" t="s">
        <v>27</v>
      </c>
      <c r="C2" s="152"/>
      <c r="D2" s="40" t="s">
        <v>30</v>
      </c>
      <c r="E2" s="159"/>
      <c r="F2" s="152" t="s">
        <v>91</v>
      </c>
      <c r="G2" s="152"/>
      <c r="H2" s="152"/>
      <c r="I2" s="41"/>
      <c r="J2" s="159"/>
      <c r="K2" s="152"/>
      <c r="L2" s="161" t="s">
        <v>69</v>
      </c>
      <c r="M2" s="152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0" t="s">
        <v>92</v>
      </c>
      <c r="C5" s="151"/>
      <c r="D5" s="48" t="s">
        <v>74</v>
      </c>
      <c r="G5" s="150"/>
      <c r="I5" s="150"/>
      <c r="J5" s="158" t="s">
        <v>169</v>
      </c>
      <c r="K5" s="150"/>
      <c r="L5" s="150"/>
      <c r="M5" s="150"/>
      <c r="N5" s="150"/>
    </row>
    <row r="6" spans="1:14" ht="16.5" customHeight="1" x14ac:dyDescent="0.2">
      <c r="A6" s="38" t="s">
        <v>124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2">
      <c r="A7" s="38" t="s">
        <v>163</v>
      </c>
      <c r="B7" s="49">
        <v>89.195999999999998</v>
      </c>
      <c r="C7" s="49">
        <v>88.11</v>
      </c>
      <c r="D7" s="49">
        <f t="shared" ref="D7:D8" si="3">F7/C7</f>
        <v>51.570570877312448</v>
      </c>
      <c r="E7" s="50">
        <f>N6</f>
        <v>438.10500000000002</v>
      </c>
      <c r="F7" s="51">
        <f>F43</f>
        <v>4543.8829999999998</v>
      </c>
      <c r="G7" s="52">
        <v>17</v>
      </c>
      <c r="H7" s="52">
        <f t="shared" si="0"/>
        <v>4998.9879999999994</v>
      </c>
      <c r="I7" s="38"/>
      <c r="J7" s="51">
        <v>2085</v>
      </c>
      <c r="K7" s="51">
        <f t="shared" si="1"/>
        <v>163.98799999999937</v>
      </c>
      <c r="L7" s="52">
        <v>1700</v>
      </c>
      <c r="M7" s="52">
        <f t="shared" si="2"/>
        <v>3948.9879999999994</v>
      </c>
      <c r="N7" s="52">
        <v>1050</v>
      </c>
    </row>
    <row r="8" spans="1:14" ht="16.5" customHeight="1" x14ac:dyDescent="0.2">
      <c r="A8" s="38" t="s">
        <v>171</v>
      </c>
      <c r="B8" s="49">
        <v>80.040000000000006</v>
      </c>
      <c r="C8" s="49">
        <v>79.266000000000005</v>
      </c>
      <c r="D8" s="49">
        <f t="shared" si="3"/>
        <v>48.507556833951504</v>
      </c>
      <c r="E8" s="50">
        <f>N7</f>
        <v>1050</v>
      </c>
      <c r="F8" s="51">
        <v>3845</v>
      </c>
      <c r="G8" s="52">
        <v>20</v>
      </c>
      <c r="H8" s="52">
        <f>SUM(E8:G8)</f>
        <v>4915</v>
      </c>
      <c r="I8" s="38"/>
      <c r="J8" s="51">
        <v>2115</v>
      </c>
      <c r="K8" s="51">
        <f t="shared" si="1"/>
        <v>130</v>
      </c>
      <c r="L8" s="52">
        <v>1875</v>
      </c>
      <c r="M8" s="52">
        <f t="shared" si="2"/>
        <v>4120</v>
      </c>
      <c r="N8" s="52">
        <v>795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164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73" ht="16.5" customHeight="1" x14ac:dyDescent="0.2">
      <c r="A33" s="41" t="s">
        <v>110</v>
      </c>
      <c r="B33" s="145"/>
      <c r="C33" s="145"/>
      <c r="D33" s="145"/>
      <c r="E33" s="145"/>
      <c r="F33" s="145"/>
      <c r="G33" s="59">
        <f>(1.859426+43.030142+5.079898)*2.204622/60</f>
        <v>1.8360630678641998</v>
      </c>
      <c r="H33" s="60"/>
      <c r="I33" s="145"/>
      <c r="J33" s="60">
        <f>5.343053*2000/60</f>
        <v>178.10176666666666</v>
      </c>
      <c r="K33" s="145"/>
      <c r="L33" s="59">
        <f>(169.194848+4710.15)*2.204622/60</f>
        <v>179.2851832914576</v>
      </c>
      <c r="M33" s="145"/>
      <c r="N33" s="145"/>
    </row>
    <row r="34" spans="1:73" ht="16.5" customHeight="1" x14ac:dyDescent="0.2">
      <c r="A34" s="41" t="s">
        <v>79</v>
      </c>
      <c r="B34" s="145"/>
      <c r="C34" s="145"/>
      <c r="D34" s="145"/>
      <c r="E34" s="56">
        <f>N27</f>
        <v>438.10500000000002</v>
      </c>
      <c r="F34" s="58">
        <v>4543.8829999999998</v>
      </c>
      <c r="G34" s="59">
        <f>G31+G32+G33</f>
        <v>3.642020479083</v>
      </c>
      <c r="H34" s="60">
        <f>SUM(E34:G34)</f>
        <v>4985.6300204790823</v>
      </c>
      <c r="I34" s="145"/>
      <c r="J34" s="60">
        <f>J31+J32+J33</f>
        <v>531.30953333333332</v>
      </c>
      <c r="K34" s="61">
        <f>M34-L34-J34</f>
        <v>206.12154175591172</v>
      </c>
      <c r="L34" s="59">
        <f>L31+L32+L33</f>
        <v>502.37494538983714</v>
      </c>
      <c r="M34" s="59">
        <f>H34-N34</f>
        <v>1239.8060204790822</v>
      </c>
      <c r="N34" s="60">
        <v>3745.8240000000001</v>
      </c>
    </row>
    <row r="35" spans="1:73" ht="16.5" customHeight="1" x14ac:dyDescent="0.2">
      <c r="A35" s="38" t="s">
        <v>111</v>
      </c>
      <c r="B35" s="145"/>
      <c r="C35" s="145"/>
      <c r="D35" s="145"/>
      <c r="E35" s="56"/>
      <c r="F35" s="58"/>
      <c r="G35" s="59">
        <f>(0.250128+23.870515+6.809791)*2.204622/60</f>
        <v>1.1364985877658</v>
      </c>
      <c r="H35" s="60"/>
      <c r="I35" s="145"/>
      <c r="J35" s="60">
        <f>5.513266*2000/60</f>
        <v>183.77553333333333</v>
      </c>
      <c r="K35" s="145"/>
      <c r="L35" s="59">
        <f>(167.796097+3846.683)*2.204622/60</f>
        <v>147.50681559643891</v>
      </c>
      <c r="M35" s="145"/>
      <c r="N35" s="145"/>
    </row>
    <row r="36" spans="1:73" ht="16.5" customHeight="1" x14ac:dyDescent="0.2">
      <c r="A36" s="38" t="s">
        <v>112</v>
      </c>
      <c r="B36" s="145"/>
      <c r="C36" s="145"/>
      <c r="D36" s="145"/>
      <c r="E36" s="56"/>
      <c r="F36" s="58"/>
      <c r="G36" s="59">
        <f>(1.028736+20.235107+6.406535)*2.204622/60</f>
        <v>1.0167120681185999</v>
      </c>
      <c r="H36" s="60"/>
      <c r="I36" s="145"/>
      <c r="J36" s="60">
        <f>5.492127*2000/60</f>
        <v>183.07090000000002</v>
      </c>
      <c r="K36" s="145"/>
      <c r="L36" s="59">
        <f>(84.586634+4743.657)*2.204622/60</f>
        <v>177.40753561460582</v>
      </c>
      <c r="M36" s="145"/>
      <c r="N36" s="145"/>
    </row>
    <row r="37" spans="1:73" ht="16.5" customHeight="1" x14ac:dyDescent="0.2">
      <c r="A37" s="38" t="s">
        <v>113</v>
      </c>
      <c r="B37" s="145"/>
      <c r="C37" s="145"/>
      <c r="D37" s="145"/>
      <c r="E37" s="56"/>
      <c r="F37" s="58"/>
      <c r="G37" s="59">
        <f>(0.546152+34.232142+5.00264)*2.204622/60</f>
        <v>1.4616987046158001</v>
      </c>
      <c r="H37" s="60"/>
      <c r="I37" s="145"/>
      <c r="J37" s="60">
        <f>4.883434*2000/60</f>
        <v>162.78113333333334</v>
      </c>
      <c r="K37" s="145"/>
      <c r="L37" s="59">
        <f>(56.036225+4521.322)*2.204622/60</f>
        <v>168.18907741193249</v>
      </c>
      <c r="M37" s="145"/>
      <c r="N37" s="145"/>
    </row>
    <row r="38" spans="1:73" ht="16.5" customHeight="1" x14ac:dyDescent="0.2">
      <c r="A38" s="38" t="s">
        <v>80</v>
      </c>
      <c r="B38" s="145"/>
      <c r="C38" s="145"/>
      <c r="D38" s="145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5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73" ht="16.5" customHeight="1" x14ac:dyDescent="0.2">
      <c r="A39" s="38" t="s">
        <v>114</v>
      </c>
      <c r="B39" s="145"/>
      <c r="C39" s="145"/>
      <c r="D39" s="145"/>
      <c r="E39" s="56"/>
      <c r="F39" s="58"/>
      <c r="G39" s="59">
        <v>1.4917554186527999</v>
      </c>
      <c r="H39" s="60"/>
      <c r="I39" s="145"/>
      <c r="J39" s="60">
        <f>5.383008*2000/60</f>
        <v>179.43359999999998</v>
      </c>
      <c r="K39" s="164"/>
      <c r="L39" s="59">
        <v>136.19169183827341</v>
      </c>
      <c r="M39" s="164"/>
      <c r="N39" s="145"/>
    </row>
    <row r="40" spans="1:73" ht="16.5" customHeight="1" x14ac:dyDescent="0.2">
      <c r="A40" s="38" t="s">
        <v>115</v>
      </c>
      <c r="B40" s="145"/>
      <c r="C40" s="145"/>
      <c r="D40" s="145"/>
      <c r="E40" s="56"/>
      <c r="F40" s="58"/>
      <c r="G40" s="59">
        <f>(9.421895+24.904466+8.271368)*2.204622/60</f>
        <v>1.5651981750573001</v>
      </c>
      <c r="H40" s="60"/>
      <c r="I40" s="145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5"/>
    </row>
    <row r="41" spans="1:73" ht="16.5" customHeight="1" x14ac:dyDescent="0.2">
      <c r="A41" s="38" t="s">
        <v>116</v>
      </c>
      <c r="B41" s="145"/>
      <c r="C41" s="145"/>
      <c r="D41" s="145"/>
      <c r="E41" s="56"/>
      <c r="F41" s="58"/>
      <c r="G41" s="59">
        <f>(3.384561+5.982905+8.068079)*2.204622/60</f>
        <v>0.64064643481650008</v>
      </c>
      <c r="H41" s="60"/>
      <c r="I41" s="145"/>
      <c r="J41" s="60">
        <f>4.957936*2000/60</f>
        <v>165.26453333333333</v>
      </c>
      <c r="K41" s="64"/>
      <c r="L41" s="59">
        <f>(46.958948+2513.478)*2.204622/60</f>
        <v>94.079927086227599</v>
      </c>
      <c r="M41" s="59"/>
      <c r="N41" s="145"/>
    </row>
    <row r="42" spans="1:73" ht="16.5" customHeight="1" x14ac:dyDescent="0.2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516.24490000000003</v>
      </c>
      <c r="K42" s="64">
        <f>M42-L42-J42</f>
        <v>106.11183710636294</v>
      </c>
      <c r="L42" s="59">
        <f>SUM(L39:L41)</f>
        <v>318.42886292216372</v>
      </c>
      <c r="M42" s="59">
        <f>H42-N42</f>
        <v>940.78560002852669</v>
      </c>
      <c r="N42" s="60">
        <v>1789.981</v>
      </c>
    </row>
    <row r="43" spans="1:73" ht="16.5" customHeight="1" x14ac:dyDescent="0.2">
      <c r="A43" s="37" t="s">
        <v>165</v>
      </c>
      <c r="B43" s="135"/>
      <c r="C43" s="135"/>
      <c r="D43" s="135"/>
      <c r="E43" s="135"/>
      <c r="F43" s="153">
        <f>F34</f>
        <v>4543.8829999999998</v>
      </c>
      <c r="G43" s="66">
        <f>G34+G38+G42</f>
        <v>10.9545298681098</v>
      </c>
      <c r="H43" s="137">
        <f>E34+F43+G43</f>
        <v>4992.942529868109</v>
      </c>
      <c r="I43" s="165"/>
      <c r="J43" s="137">
        <f>J34+J38+J42</f>
        <v>1577.1820000000002</v>
      </c>
      <c r="K43" s="137">
        <f>K34+K38+K42</f>
        <v>311.87229293313123</v>
      </c>
      <c r="L43" s="66">
        <f t="shared" ref="L43:M43" si="4">L34+L38+L42</f>
        <v>1313.9072369349781</v>
      </c>
      <c r="M43" s="66">
        <f t="shared" si="4"/>
        <v>3202.9615298681092</v>
      </c>
      <c r="N43" s="135"/>
    </row>
    <row r="44" spans="1:73" ht="16.5" customHeight="1" x14ac:dyDescent="0.2">
      <c r="A44" s="67" t="s">
        <v>168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68"/>
      <c r="M44" s="41"/>
      <c r="N44" s="41"/>
    </row>
    <row r="45" spans="1:73" ht="16.5" customHeight="1" x14ac:dyDescent="0.2">
      <c r="A45" s="38" t="s">
        <v>125</v>
      </c>
      <c r="B45" s="38"/>
      <c r="C45" s="38"/>
      <c r="D45" s="38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73" ht="16.5" customHeight="1" x14ac:dyDescent="0.2">
      <c r="A46" s="70" t="s">
        <v>77</v>
      </c>
      <c r="B46" s="38"/>
      <c r="C46" s="38"/>
      <c r="D46" s="3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6.5" customHeight="1" x14ac:dyDescent="0.2">
      <c r="A47" s="38" t="s">
        <v>26</v>
      </c>
      <c r="B47" s="71">
        <f ca="1">NOW()</f>
        <v>43661.432157291667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3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69" t="s">
        <v>103</v>
      </c>
      <c r="C5" s="169"/>
      <c r="D5" s="169"/>
      <c r="E5" s="169"/>
      <c r="F5" s="169"/>
      <c r="G5" s="169"/>
      <c r="H5" s="169"/>
      <c r="I5" s="169"/>
      <c r="J5" s="169"/>
    </row>
    <row r="6" spans="1:12" ht="16.5" x14ac:dyDescent="0.2">
      <c r="A6" s="38" t="s">
        <v>140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2">
      <c r="A7" s="38" t="s">
        <v>163</v>
      </c>
      <c r="B7" s="72">
        <v>555.42399999999998</v>
      </c>
      <c r="C7" s="73">
        <v>48870</v>
      </c>
      <c r="D7" s="73">
        <v>725</v>
      </c>
      <c r="E7" s="52">
        <f t="shared" si="0"/>
        <v>50150.423999999999</v>
      </c>
      <c r="F7" s="73"/>
      <c r="G7" s="73">
        <f t="shared" si="1"/>
        <v>35800.423999999999</v>
      </c>
      <c r="H7" s="73">
        <v>13900</v>
      </c>
      <c r="I7" s="73">
        <f t="shared" si="2"/>
        <v>49700.423999999999</v>
      </c>
      <c r="J7" s="73">
        <v>450</v>
      </c>
    </row>
    <row r="8" spans="1:12" ht="16.5" x14ac:dyDescent="0.2">
      <c r="A8" s="38" t="s">
        <v>171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36600</v>
      </c>
      <c r="H8" s="73">
        <v>13600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164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3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75" x14ac:dyDescent="0.25">
      <c r="A33" s="41" t="s">
        <v>64</v>
      </c>
      <c r="B33" s="76">
        <f t="shared" ref="B33" si="13">J32</f>
        <v>385.173</v>
      </c>
      <c r="C33" s="59">
        <f>3656.196+249.227</f>
        <v>3905.4229999999998</v>
      </c>
      <c r="D33" s="59">
        <f>(57739.395+3870+130.583+721.919)*2.204622/2000</f>
        <v>68.852436143966997</v>
      </c>
      <c r="E33" s="59">
        <f t="shared" ref="E33" si="14">SUM(B33:D33)</f>
        <v>4359.4484361439663</v>
      </c>
      <c r="F33" s="75"/>
      <c r="G33" s="77">
        <f t="shared" ref="G33" si="15">I33-H33</f>
        <v>2926.8163870523013</v>
      </c>
      <c r="H33" s="59">
        <f>((819.428144+11.935+185.223871))*(2.204622/2)</f>
        <v>1120.595049091665</v>
      </c>
      <c r="I33" s="75">
        <f t="shared" si="10"/>
        <v>4047.4114361439661</v>
      </c>
      <c r="J33" s="77">
        <f>276.208+35.829</f>
        <v>312.03700000000003</v>
      </c>
      <c r="K33" s="21"/>
      <c r="L33" s="21"/>
    </row>
    <row r="34" spans="1:12" ht="15.75" x14ac:dyDescent="0.25">
      <c r="A34" s="37" t="s">
        <v>165</v>
      </c>
      <c r="B34" s="78"/>
      <c r="C34" s="66">
        <f>SUM(C26:C33)</f>
        <v>32976.720999999998</v>
      </c>
      <c r="D34" s="66">
        <f>SUM(D26:D33)</f>
        <v>490.26355816838401</v>
      </c>
      <c r="E34" s="66">
        <f>B26+C34+D34</f>
        <v>34022.408558168383</v>
      </c>
      <c r="F34" s="66"/>
      <c r="G34" s="66">
        <f t="shared" ref="G34:I34" si="16">SUM(G26:G33)</f>
        <v>23978.107509446952</v>
      </c>
      <c r="H34" s="66">
        <f t="shared" si="16"/>
        <v>9732.2640487214321</v>
      </c>
      <c r="I34" s="66">
        <f t="shared" si="16"/>
        <v>33710.371558168386</v>
      </c>
      <c r="J34" s="66"/>
      <c r="K34" s="21"/>
      <c r="L34" s="21"/>
    </row>
    <row r="35" spans="1:12" ht="17.25" x14ac:dyDescent="0.25">
      <c r="A35" s="79" t="s">
        <v>167</v>
      </c>
      <c r="B35" s="38"/>
      <c r="C35" s="38"/>
      <c r="D35" s="38"/>
      <c r="E35" s="38"/>
      <c r="F35" s="38"/>
      <c r="G35" s="38"/>
      <c r="H35" s="38"/>
      <c r="I35" s="38"/>
      <c r="J35" s="38"/>
      <c r="K35" s="21"/>
      <c r="L35" s="21"/>
    </row>
    <row r="36" spans="1:12" ht="15.75" x14ac:dyDescent="0.25">
      <c r="A36" s="38" t="s">
        <v>126</v>
      </c>
      <c r="B36" s="38"/>
      <c r="C36" s="38"/>
      <c r="D36" s="38"/>
      <c r="E36" s="38"/>
      <c r="F36" s="38"/>
      <c r="G36" s="38"/>
      <c r="H36" s="38"/>
      <c r="I36" s="38"/>
      <c r="J36" s="38"/>
      <c r="K36" s="21"/>
      <c r="L36" s="21"/>
    </row>
    <row r="37" spans="1:12" ht="15.75" x14ac:dyDescent="0.25">
      <c r="A37" s="38" t="s">
        <v>26</v>
      </c>
      <c r="B37" s="71">
        <f ca="1">NOW()</f>
        <v>43661.432157291667</v>
      </c>
      <c r="C37" s="58"/>
      <c r="D37" s="54"/>
      <c r="E37" s="54"/>
      <c r="F37" s="54"/>
      <c r="G37" s="54"/>
      <c r="H37" s="54"/>
      <c r="I37" s="54"/>
      <c r="J37" s="54"/>
      <c r="K37" s="21"/>
      <c r="L37" s="21"/>
    </row>
    <row r="38" spans="1:12" ht="15.75" x14ac:dyDescent="0.25">
      <c r="A38" s="1"/>
      <c r="B38" s="3"/>
      <c r="C38" s="4"/>
      <c r="D38" s="3"/>
      <c r="E38" s="3"/>
      <c r="F38" s="3"/>
      <c r="G38" s="3"/>
      <c r="H38" s="5"/>
      <c r="I38" s="3"/>
      <c r="J38" s="3"/>
      <c r="K38" s="21"/>
      <c r="L38" s="21"/>
    </row>
    <row r="39" spans="1:12" ht="15.75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21"/>
      <c r="L39" s="2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21"/>
      <c r="L40" s="2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21"/>
      <c r="L41" s="21"/>
    </row>
    <row r="42" spans="1:12" ht="15.75" x14ac:dyDescent="0.25">
      <c r="K42" s="21"/>
      <c r="L42" s="21"/>
    </row>
    <row r="43" spans="1:12" ht="15.75" x14ac:dyDescent="0.25">
      <c r="K43" s="21"/>
      <c r="L43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9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0" t="s">
        <v>109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124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2">
      <c r="A8" s="38" t="s">
        <v>163</v>
      </c>
      <c r="B8" s="74">
        <f>L7</f>
        <v>1995.434</v>
      </c>
      <c r="C8" s="74">
        <v>24330</v>
      </c>
      <c r="D8" s="74">
        <v>400</v>
      </c>
      <c r="E8" s="74">
        <f t="shared" si="0"/>
        <v>26725.434000000001</v>
      </c>
      <c r="F8" s="74"/>
      <c r="G8" s="74">
        <f t="shared" si="1"/>
        <v>22800.434000000001</v>
      </c>
      <c r="H8" s="74">
        <v>8200</v>
      </c>
      <c r="I8" s="74">
        <f t="shared" si="2"/>
        <v>14600.434000000001</v>
      </c>
      <c r="J8" s="74">
        <v>2050</v>
      </c>
      <c r="K8" s="74">
        <f t="shared" si="3"/>
        <v>24850.434000000001</v>
      </c>
      <c r="L8" s="74">
        <v>1875</v>
      </c>
      <c r="M8" s="17"/>
    </row>
    <row r="9" spans="1:13" ht="16.5" x14ac:dyDescent="0.2">
      <c r="A9" s="38" t="s">
        <v>171</v>
      </c>
      <c r="B9" s="74">
        <f>L8</f>
        <v>1875</v>
      </c>
      <c r="C9" s="74">
        <v>24535</v>
      </c>
      <c r="D9" s="74">
        <v>450</v>
      </c>
      <c r="E9" s="74">
        <f t="shared" si="0"/>
        <v>26860</v>
      </c>
      <c r="F9" s="74"/>
      <c r="G9" s="74">
        <f t="shared" si="1"/>
        <v>23600</v>
      </c>
      <c r="H9" s="74">
        <v>8700</v>
      </c>
      <c r="I9" s="74">
        <f t="shared" si="2"/>
        <v>14900</v>
      </c>
      <c r="J9" s="74">
        <v>1725</v>
      </c>
      <c r="K9" s="74">
        <f t="shared" si="3"/>
        <v>25325</v>
      </c>
      <c r="L9" s="74">
        <v>1535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164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4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5" si="10">E30-L30</f>
        <v>2134.2672721197582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.25" x14ac:dyDescent="0.2">
      <c r="A35" s="41" t="s">
        <v>64</v>
      </c>
      <c r="B35" s="75">
        <f t="shared" ref="B35" si="14">L34</f>
        <v>2257.6060000000002</v>
      </c>
      <c r="C35" s="59">
        <v>1914.3779999999999</v>
      </c>
      <c r="D35" s="75">
        <f>(0.55383087+0+15.169599+0)*2.204622</f>
        <v>34.664219406859139</v>
      </c>
      <c r="E35" s="75">
        <f t="shared" si="11"/>
        <v>4206.6482194068594</v>
      </c>
      <c r="F35" s="75"/>
      <c r="G35" s="75">
        <f>K35-J35</f>
        <v>1982.6102017077053</v>
      </c>
      <c r="H35" s="75" t="s">
        <v>10</v>
      </c>
      <c r="I35" s="75" t="s">
        <v>10</v>
      </c>
      <c r="J35" s="75">
        <f>(80.309787+0.081671+12.554494+0.373455)*2.204622</f>
        <v>205.73401769915404</v>
      </c>
      <c r="K35" s="75">
        <f t="shared" si="10"/>
        <v>2188.3442194068593</v>
      </c>
      <c r="L35" s="75">
        <f>1662.372+355.932</f>
        <v>2018.3040000000001</v>
      </c>
    </row>
    <row r="36" spans="1:12" ht="14.25" x14ac:dyDescent="0.2">
      <c r="A36" s="37" t="s">
        <v>165</v>
      </c>
      <c r="B36" s="136"/>
      <c r="C36" s="66">
        <f>SUM(C28:C35)</f>
        <v>16343.378000000001</v>
      </c>
      <c r="D36" s="66">
        <f>SUM(D28:D35)</f>
        <v>268.28384160203512</v>
      </c>
      <c r="E36" s="66">
        <f>B28+C36+D36</f>
        <v>18607.095841602037</v>
      </c>
      <c r="F36" s="82"/>
      <c r="G36" s="66">
        <f t="shared" ref="G36:K36" si="15">SUM(G28:G35)</f>
        <v>15131.210748443957</v>
      </c>
      <c r="H36" s="66">
        <f t="shared" si="15"/>
        <v>4601.6600000000008</v>
      </c>
      <c r="I36" s="66">
        <f t="shared" si="15"/>
        <v>8546.9405467362521</v>
      </c>
      <c r="J36" s="66">
        <f t="shared" si="15"/>
        <v>1457.5810931580781</v>
      </c>
      <c r="K36" s="66">
        <f t="shared" si="15"/>
        <v>16588.791841602033</v>
      </c>
      <c r="L36" s="82"/>
    </row>
    <row r="37" spans="1:12" ht="16.5" x14ac:dyDescent="0.2">
      <c r="A37" s="79" t="s">
        <v>127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4.25" x14ac:dyDescent="0.2">
      <c r="A38" s="38" t="s">
        <v>126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4.25" x14ac:dyDescent="0.2">
      <c r="A39" s="38" t="s">
        <v>26</v>
      </c>
      <c r="B39" s="71">
        <f ca="1">NOW()</f>
        <v>43661.432157291667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8" t="s">
        <v>0</v>
      </c>
      <c r="C2" s="168"/>
      <c r="D2" s="168"/>
      <c r="E2" s="168"/>
      <c r="F2" s="83"/>
      <c r="G2" s="168" t="s">
        <v>24</v>
      </c>
      <c r="H2" s="168"/>
      <c r="I2" s="168"/>
      <c r="J2" s="168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69" t="s">
        <v>18</v>
      </c>
      <c r="C5" s="169"/>
      <c r="D5" s="169"/>
      <c r="E5" s="169"/>
      <c r="F5" s="169"/>
      <c r="G5" s="169"/>
      <c r="H5" s="169"/>
      <c r="I5" s="169"/>
      <c r="J5" s="169"/>
      <c r="K5" s="169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140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4040.32782</v>
      </c>
      <c r="J7" s="87">
        <f>E7-K7</f>
        <v>6372</v>
      </c>
      <c r="K7" s="87">
        <v>450</v>
      </c>
      <c r="L7" s="38"/>
      <c r="M7" s="38"/>
      <c r="N7" s="38"/>
      <c r="O7" s="38"/>
    </row>
    <row r="8" spans="1:15" ht="16.5" x14ac:dyDescent="0.2">
      <c r="A8" s="38" t="s">
        <v>163</v>
      </c>
      <c r="B8" s="87">
        <f>K7</f>
        <v>450</v>
      </c>
      <c r="C8" s="87">
        <v>5631</v>
      </c>
      <c r="D8" s="88">
        <v>2</v>
      </c>
      <c r="E8" s="87">
        <f>B8+C8+D8</f>
        <v>6083</v>
      </c>
      <c r="F8" s="53"/>
      <c r="G8" s="87">
        <v>1835</v>
      </c>
      <c r="H8" s="89">
        <v>425</v>
      </c>
      <c r="I8" s="87">
        <f t="shared" ref="I8:I9" si="0">J8-G8-H8</f>
        <v>3457</v>
      </c>
      <c r="J8" s="87">
        <f t="shared" ref="J8:J9" si="1">E8-K8</f>
        <v>5717</v>
      </c>
      <c r="K8" s="87">
        <v>366</v>
      </c>
      <c r="L8" s="38"/>
      <c r="M8" s="38"/>
      <c r="N8" s="38"/>
      <c r="O8" s="38"/>
    </row>
    <row r="9" spans="1:15" ht="16.5" x14ac:dyDescent="0.2">
      <c r="A9" s="37" t="s">
        <v>171</v>
      </c>
      <c r="B9" s="90">
        <f>K8</f>
        <v>366</v>
      </c>
      <c r="C9" s="90">
        <v>6905</v>
      </c>
      <c r="D9" s="91">
        <v>2</v>
      </c>
      <c r="E9" s="90">
        <f>B9+C9+D9</f>
        <v>7273</v>
      </c>
      <c r="F9" s="92"/>
      <c r="G9" s="90">
        <v>2100</v>
      </c>
      <c r="H9" s="93">
        <v>450</v>
      </c>
      <c r="I9" s="90">
        <f t="shared" si="0"/>
        <v>4297</v>
      </c>
      <c r="J9" s="90">
        <f t="shared" si="1"/>
        <v>6847</v>
      </c>
      <c r="K9" s="90">
        <v>426</v>
      </c>
      <c r="L9" s="38"/>
      <c r="M9" s="38"/>
      <c r="N9" s="38"/>
      <c r="O9" s="38"/>
    </row>
    <row r="10" spans="1:15" ht="16.5" x14ac:dyDescent="0.2">
      <c r="A10" s="79" t="s">
        <v>128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129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130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8" t="s">
        <v>0</v>
      </c>
      <c r="C15" s="168"/>
      <c r="D15" s="168"/>
      <c r="E15" s="168"/>
      <c r="F15" s="38"/>
      <c r="G15" s="168" t="s">
        <v>24</v>
      </c>
      <c r="H15" s="168"/>
      <c r="I15" s="168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69" t="s">
        <v>19</v>
      </c>
      <c r="C18" s="169"/>
      <c r="D18" s="169"/>
      <c r="E18" s="169"/>
      <c r="F18" s="169"/>
      <c r="G18" s="169"/>
      <c r="H18" s="169"/>
      <c r="I18" s="169"/>
      <c r="J18" s="169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140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163</v>
      </c>
      <c r="B21" s="87">
        <f>J20</f>
        <v>45</v>
      </c>
      <c r="C21" s="89">
        <v>825</v>
      </c>
      <c r="D21" s="88">
        <v>0</v>
      </c>
      <c r="E21" s="89">
        <f t="shared" si="2"/>
        <v>870</v>
      </c>
      <c r="F21" s="38"/>
      <c r="G21" s="89">
        <f>I21-H21</f>
        <v>710</v>
      </c>
      <c r="H21" s="89">
        <v>120</v>
      </c>
      <c r="I21" s="89">
        <f t="shared" ref="I21:I22" si="3">E21-J21</f>
        <v>830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171</v>
      </c>
      <c r="B22" s="90">
        <f>J21</f>
        <v>40</v>
      </c>
      <c r="C22" s="93">
        <v>945</v>
      </c>
      <c r="D22" s="91">
        <v>0</v>
      </c>
      <c r="E22" s="93">
        <f t="shared" si="2"/>
        <v>985</v>
      </c>
      <c r="F22" s="92"/>
      <c r="G22" s="93">
        <f>I22-H22</f>
        <v>835</v>
      </c>
      <c r="H22" s="93">
        <v>110</v>
      </c>
      <c r="I22" s="93">
        <f t="shared" si="3"/>
        <v>945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128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131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8" t="s">
        <v>0</v>
      </c>
      <c r="C28" s="168"/>
      <c r="D28" s="168"/>
      <c r="E28" s="168"/>
      <c r="F28" s="38"/>
      <c r="G28" s="168" t="s">
        <v>24</v>
      </c>
      <c r="H28" s="168"/>
      <c r="I28" s="168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69" t="s">
        <v>20</v>
      </c>
      <c r="C31" s="169"/>
      <c r="D31" s="169"/>
      <c r="E31" s="169"/>
      <c r="F31" s="169"/>
      <c r="G31" s="169"/>
      <c r="H31" s="169"/>
      <c r="I31" s="169"/>
      <c r="J31" s="169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140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163</v>
      </c>
      <c r="B34" s="88">
        <f>J33</f>
        <v>32</v>
      </c>
      <c r="C34" s="89">
        <v>495</v>
      </c>
      <c r="D34" s="88">
        <v>1</v>
      </c>
      <c r="E34" s="96">
        <f t="shared" si="4"/>
        <v>528</v>
      </c>
      <c r="F34" s="38"/>
      <c r="G34" s="89">
        <f t="shared" ref="G34:G35" si="6">I34-H34</f>
        <v>373</v>
      </c>
      <c r="H34" s="89">
        <v>90</v>
      </c>
      <c r="I34" s="89">
        <f t="shared" si="5"/>
        <v>463</v>
      </c>
      <c r="J34" s="97">
        <v>65</v>
      </c>
      <c r="K34" s="38"/>
      <c r="L34" s="38"/>
      <c r="M34" s="38"/>
      <c r="N34" s="38"/>
      <c r="O34" s="38"/>
    </row>
    <row r="35" spans="1:15" ht="16.5" x14ac:dyDescent="0.2">
      <c r="A35" s="37" t="s">
        <v>171</v>
      </c>
      <c r="B35" s="91">
        <f>J34</f>
        <v>65</v>
      </c>
      <c r="C35" s="93">
        <v>610</v>
      </c>
      <c r="D35" s="91">
        <v>1</v>
      </c>
      <c r="E35" s="98">
        <f t="shared" si="4"/>
        <v>676</v>
      </c>
      <c r="F35" s="92"/>
      <c r="G35" s="93">
        <f t="shared" si="6"/>
        <v>511</v>
      </c>
      <c r="H35" s="93">
        <v>125</v>
      </c>
      <c r="I35" s="93">
        <f t="shared" si="5"/>
        <v>636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128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132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8" t="s">
        <v>27</v>
      </c>
      <c r="C41" s="168"/>
      <c r="D41" s="40" t="s">
        <v>30</v>
      </c>
      <c r="E41" s="168" t="s">
        <v>91</v>
      </c>
      <c r="F41" s="168"/>
      <c r="G41" s="168"/>
      <c r="H41" s="168"/>
      <c r="I41" s="38"/>
      <c r="J41" s="168" t="s">
        <v>24</v>
      </c>
      <c r="K41" s="168"/>
      <c r="L41" s="168"/>
      <c r="M41" s="168"/>
      <c r="N41" s="168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0" t="s">
        <v>93</v>
      </c>
      <c r="C44" s="169"/>
      <c r="D44" s="99" t="s">
        <v>78</v>
      </c>
      <c r="E44" s="169" t="s">
        <v>21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140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v>704.82375000000002</v>
      </c>
      <c r="L46" s="89">
        <f>N46-J46-K46-M46</f>
        <v>884.88454316283992</v>
      </c>
      <c r="M46" s="97">
        <v>1272.711</v>
      </c>
      <c r="N46" s="87">
        <f>H46-O46</f>
        <v>6011.402</v>
      </c>
      <c r="O46" s="87">
        <v>2717.08</v>
      </c>
    </row>
    <row r="47" spans="1:15" ht="16.5" x14ac:dyDescent="0.2">
      <c r="A47" s="38" t="s">
        <v>163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110</v>
      </c>
      <c r="H47" s="87">
        <f t="shared" ref="H47:H48" si="7">SUM(E47:G47)</f>
        <v>8288.68</v>
      </c>
      <c r="I47" s="87"/>
      <c r="J47" s="87">
        <v>3098</v>
      </c>
      <c r="K47" s="87">
        <v>650</v>
      </c>
      <c r="L47" s="89">
        <f>N47-J47-K47-M47</f>
        <v>870.68000000000029</v>
      </c>
      <c r="M47" s="89">
        <v>1250</v>
      </c>
      <c r="N47" s="87">
        <f t="shared" ref="N47:N48" si="8">H47-O47</f>
        <v>5868.68</v>
      </c>
      <c r="O47" s="87">
        <v>2420</v>
      </c>
    </row>
    <row r="48" spans="1:15" ht="16.5" x14ac:dyDescent="0.2">
      <c r="A48" s="37" t="s">
        <v>171</v>
      </c>
      <c r="B48" s="90">
        <v>1364</v>
      </c>
      <c r="C48" s="90">
        <v>1323</v>
      </c>
      <c r="D48" s="90">
        <f>F48*1000/C48</f>
        <v>4051.3983371126228</v>
      </c>
      <c r="E48" s="90">
        <f>O47</f>
        <v>2420</v>
      </c>
      <c r="F48" s="90">
        <v>5360</v>
      </c>
      <c r="G48" s="93">
        <v>100</v>
      </c>
      <c r="H48" s="90">
        <f t="shared" si="7"/>
        <v>7880</v>
      </c>
      <c r="I48" s="90"/>
      <c r="J48" s="90">
        <v>3158</v>
      </c>
      <c r="K48" s="90">
        <v>704</v>
      </c>
      <c r="L48" s="93">
        <f>N48-J48-K48-M48</f>
        <v>739</v>
      </c>
      <c r="M48" s="93">
        <v>1275</v>
      </c>
      <c r="N48" s="90">
        <f t="shared" si="8"/>
        <v>5876</v>
      </c>
      <c r="O48" s="90">
        <v>2004</v>
      </c>
    </row>
    <row r="49" spans="1:15" ht="16.5" x14ac:dyDescent="0.2">
      <c r="A49" s="79" t="s">
        <v>128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130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43661.432157291667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5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134</v>
      </c>
      <c r="C2" s="80" t="s">
        <v>135</v>
      </c>
      <c r="D2" s="80" t="s">
        <v>136</v>
      </c>
      <c r="E2" s="80" t="s">
        <v>137</v>
      </c>
      <c r="F2" s="80" t="s">
        <v>138</v>
      </c>
      <c r="G2" s="80" t="s">
        <v>139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6.5" x14ac:dyDescent="0.2">
      <c r="A15" s="38" t="s">
        <v>162</v>
      </c>
      <c r="B15" s="104">
        <v>8.5</v>
      </c>
      <c r="C15" s="104">
        <v>152</v>
      </c>
      <c r="D15" s="104">
        <v>17.2</v>
      </c>
      <c r="E15" s="104">
        <v>15.9</v>
      </c>
      <c r="F15" s="104">
        <v>21.2</v>
      </c>
      <c r="G15" s="104">
        <v>9.86</v>
      </c>
      <c r="H15" s="1"/>
      <c r="I15" s="7"/>
      <c r="J15" s="3"/>
      <c r="K15" s="3"/>
    </row>
    <row r="16" spans="1:11" ht="16.5" x14ac:dyDescent="0.2">
      <c r="A16" s="38" t="s">
        <v>170</v>
      </c>
      <c r="B16" s="104">
        <v>8.4</v>
      </c>
      <c r="C16" s="104">
        <v>155</v>
      </c>
      <c r="D16" s="104">
        <v>16.75</v>
      </c>
      <c r="E16" s="104">
        <v>15.35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164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22.2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21.5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16</v>
      </c>
      <c r="G39" s="104">
        <v>10.1</v>
      </c>
    </row>
    <row r="40" spans="1:7" ht="14.25" x14ac:dyDescent="0.2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20.5</v>
      </c>
      <c r="G40" s="104">
        <v>9.93</v>
      </c>
    </row>
    <row r="41" spans="1:7" ht="14.25" x14ac:dyDescent="0.2">
      <c r="A41" s="37" t="s">
        <v>64</v>
      </c>
      <c r="B41" s="110">
        <v>8.02</v>
      </c>
      <c r="C41" s="110" t="s">
        <v>10</v>
      </c>
      <c r="D41" s="110">
        <v>18.3</v>
      </c>
      <c r="E41" s="110">
        <v>15.2</v>
      </c>
      <c r="F41" s="110">
        <v>20.6</v>
      </c>
      <c r="G41" s="110">
        <v>9.5399999999999991</v>
      </c>
    </row>
    <row r="42" spans="1:7" ht="16.5" x14ac:dyDescent="0.2">
      <c r="A42" s="38" t="s">
        <v>141</v>
      </c>
      <c r="B42" s="38"/>
      <c r="C42" s="38"/>
      <c r="D42" s="38"/>
      <c r="E42" s="38"/>
      <c r="F42" s="38"/>
      <c r="G42" s="38"/>
    </row>
    <row r="43" spans="1:7" ht="14.25" x14ac:dyDescent="0.2">
      <c r="A43" s="38" t="s">
        <v>56</v>
      </c>
      <c r="B43" s="111"/>
      <c r="C43" s="111" t="s">
        <v>105</v>
      </c>
      <c r="D43" s="111"/>
      <c r="E43" s="111"/>
      <c r="F43" s="111"/>
      <c r="G43" s="111"/>
    </row>
    <row r="44" spans="1:7" ht="14.25" x14ac:dyDescent="0.2">
      <c r="A44" s="38" t="s">
        <v>142</v>
      </c>
      <c r="B44" s="38"/>
      <c r="C44" s="38"/>
      <c r="D44" s="38"/>
      <c r="E44" s="38"/>
      <c r="F44" s="38"/>
      <c r="G44" s="38"/>
    </row>
    <row r="45" spans="1:7" ht="14.25" x14ac:dyDescent="0.2">
      <c r="A45" s="38" t="s">
        <v>26</v>
      </c>
      <c r="B45" s="71">
        <f ca="1">NOW()</f>
        <v>43661.432157291667</v>
      </c>
      <c r="C45" s="38"/>
      <c r="D45" s="38"/>
      <c r="E45" s="38"/>
      <c r="F45" s="38"/>
      <c r="G45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5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143</v>
      </c>
      <c r="I2" s="114" t="s">
        <v>48</v>
      </c>
    </row>
    <row r="3" spans="1:9" ht="15.6" customHeight="1" x14ac:dyDescent="0.2">
      <c r="A3" s="85" t="s">
        <v>16</v>
      </c>
      <c r="B3" s="45" t="s">
        <v>144</v>
      </c>
      <c r="C3" s="45" t="s">
        <v>145</v>
      </c>
      <c r="D3" s="45" t="s">
        <v>146</v>
      </c>
      <c r="E3" s="45" t="s">
        <v>146</v>
      </c>
      <c r="F3" s="45" t="s">
        <v>147</v>
      </c>
      <c r="G3" s="45" t="s">
        <v>148</v>
      </c>
      <c r="H3" s="45"/>
      <c r="I3" s="45" t="s">
        <v>149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162</v>
      </c>
      <c r="B15" s="104">
        <v>28</v>
      </c>
      <c r="C15" s="104">
        <v>35</v>
      </c>
      <c r="D15" s="104">
        <v>53.25</v>
      </c>
      <c r="E15" s="104">
        <v>36.25</v>
      </c>
      <c r="F15" s="104">
        <v>64.5</v>
      </c>
      <c r="G15" s="104">
        <v>27</v>
      </c>
      <c r="H15" s="104">
        <v>31.5</v>
      </c>
      <c r="I15" s="104">
        <v>32.5</v>
      </c>
    </row>
    <row r="16" spans="1:9" ht="16.5" x14ac:dyDescent="0.2">
      <c r="A16" s="38" t="s">
        <v>170</v>
      </c>
      <c r="B16" s="104">
        <v>29.5</v>
      </c>
      <c r="C16" s="104">
        <v>34</v>
      </c>
      <c r="D16" s="104">
        <v>54</v>
      </c>
      <c r="E16" s="104">
        <v>36.5</v>
      </c>
      <c r="F16" s="104">
        <v>66.5</v>
      </c>
      <c r="G16" s="104">
        <v>31.5</v>
      </c>
      <c r="H16" s="104">
        <v>32.5</v>
      </c>
      <c r="I16" s="104">
        <v>32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164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.25" x14ac:dyDescent="0.2">
      <c r="A41" s="37" t="s">
        <v>65</v>
      </c>
      <c r="B41" s="110">
        <v>28.24</v>
      </c>
      <c r="C41" s="110">
        <v>36.69</v>
      </c>
      <c r="D41" s="110">
        <v>51</v>
      </c>
      <c r="E41" s="110">
        <v>34.630000000000003</v>
      </c>
      <c r="F41" s="110">
        <v>66</v>
      </c>
      <c r="G41" s="110">
        <v>27.38</v>
      </c>
      <c r="H41" s="110" t="s">
        <v>10</v>
      </c>
      <c r="I41" s="110" t="s">
        <v>10</v>
      </c>
    </row>
    <row r="42" spans="1:9" ht="16.5" x14ac:dyDescent="0.2">
      <c r="A42" s="79" t="s">
        <v>159</v>
      </c>
      <c r="B42" s="117"/>
      <c r="C42" s="117"/>
      <c r="D42" s="117"/>
      <c r="E42" s="117"/>
      <c r="F42" s="117"/>
      <c r="G42" s="117"/>
      <c r="H42" s="117"/>
      <c r="I42" s="117"/>
    </row>
    <row r="43" spans="1:9" ht="16.5" x14ac:dyDescent="0.2">
      <c r="A43" s="38" t="s">
        <v>160</v>
      </c>
      <c r="B43" s="117"/>
      <c r="C43" s="117"/>
      <c r="D43" s="117"/>
      <c r="E43" s="117"/>
      <c r="F43" s="117"/>
      <c r="G43" s="117"/>
      <c r="H43" s="117"/>
      <c r="I43" s="117"/>
    </row>
    <row r="44" spans="1:9" ht="14.25" x14ac:dyDescent="0.2">
      <c r="A44" s="38" t="s">
        <v>150</v>
      </c>
      <c r="B44" s="38"/>
      <c r="C44" s="38"/>
      <c r="D44" s="38"/>
      <c r="E44" s="38"/>
      <c r="F44" s="117"/>
      <c r="G44" s="38"/>
      <c r="H44" s="38"/>
      <c r="I44" s="38"/>
    </row>
    <row r="45" spans="1:9" ht="14.25" x14ac:dyDescent="0.2">
      <c r="A45" s="38" t="s">
        <v>26</v>
      </c>
      <c r="B45" s="71">
        <f ca="1">NOW()</f>
        <v>43661.432157291667</v>
      </c>
      <c r="C45" s="38"/>
      <c r="D45" s="38"/>
      <c r="E45" s="38"/>
      <c r="F45" s="38"/>
      <c r="G45" s="38"/>
      <c r="H45" s="38"/>
      <c r="I45" s="38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G61" s="14"/>
      <c r="H61" s="14"/>
      <c r="I61" s="14"/>
    </row>
    <row r="62" spans="3:9" ht="15.75" x14ac:dyDescent="0.25">
      <c r="C62" s="14"/>
      <c r="H62" s="14"/>
      <c r="I62" s="14"/>
    </row>
    <row r="63" spans="3:9" ht="15.75" x14ac:dyDescent="0.25">
      <c r="C63" s="14"/>
      <c r="H63" s="14"/>
      <c r="I63" s="14"/>
    </row>
    <row r="64" spans="3:9" ht="15.75" x14ac:dyDescent="0.25">
      <c r="C64" s="14"/>
      <c r="F64" s="16"/>
      <c r="H64" s="14"/>
      <c r="I64" s="14"/>
    </row>
    <row r="65" spans="6:9" ht="15.75" x14ac:dyDescent="0.25">
      <c r="F65" s="16"/>
      <c r="H65" s="14"/>
      <c r="I65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7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151</v>
      </c>
      <c r="C3" s="45" t="s">
        <v>152</v>
      </c>
      <c r="D3" s="45" t="s">
        <v>153</v>
      </c>
      <c r="E3" s="45" t="s">
        <v>154</v>
      </c>
      <c r="F3" s="45" t="s">
        <v>155</v>
      </c>
      <c r="G3" s="45" t="s">
        <v>156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162</v>
      </c>
      <c r="B15" s="104">
        <v>310</v>
      </c>
      <c r="C15" s="104">
        <v>230</v>
      </c>
      <c r="D15" s="128">
        <v>180</v>
      </c>
      <c r="E15" s="119" t="s">
        <v>10</v>
      </c>
      <c r="F15" s="104">
        <v>275</v>
      </c>
      <c r="G15" s="104">
        <v>225</v>
      </c>
    </row>
    <row r="16" spans="1:8" ht="16.5" x14ac:dyDescent="0.2">
      <c r="A16" s="38" t="s">
        <v>170</v>
      </c>
      <c r="B16" s="104">
        <v>300</v>
      </c>
      <c r="C16" s="104">
        <v>230</v>
      </c>
      <c r="D16" s="128">
        <v>170</v>
      </c>
      <c r="E16" s="119" t="s">
        <v>10</v>
      </c>
      <c r="F16" s="104">
        <v>250</v>
      </c>
      <c r="G16" s="104">
        <v>215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164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.25" x14ac:dyDescent="0.2">
      <c r="A41" s="121" t="s">
        <v>65</v>
      </c>
      <c r="B41" s="110">
        <v>324.75</v>
      </c>
      <c r="C41" s="110">
        <v>215.63</v>
      </c>
      <c r="D41" s="110">
        <v>143.13</v>
      </c>
      <c r="E41" s="122" t="s">
        <v>10</v>
      </c>
      <c r="F41" s="110">
        <v>278.76</v>
      </c>
      <c r="G41" s="110">
        <v>228.88</v>
      </c>
      <c r="I41" s="6"/>
      <c r="J41" s="6"/>
      <c r="K41" s="6"/>
      <c r="L41" s="6"/>
      <c r="M41" s="6"/>
    </row>
    <row r="42" spans="1:13" ht="16.5" x14ac:dyDescent="0.2">
      <c r="A42" s="79" t="s">
        <v>161</v>
      </c>
      <c r="B42" s="123"/>
      <c r="C42" s="123"/>
      <c r="D42" s="123"/>
      <c r="E42" s="123"/>
      <c r="F42" s="123"/>
      <c r="G42" s="123"/>
      <c r="I42" s="11"/>
      <c r="J42" s="6"/>
      <c r="K42" s="6"/>
      <c r="L42" s="6"/>
      <c r="M42" s="6"/>
    </row>
    <row r="43" spans="1:13" ht="16.5" x14ac:dyDescent="0.2">
      <c r="A43" s="79" t="s">
        <v>157</v>
      </c>
      <c r="B43" s="124"/>
      <c r="C43" s="124"/>
      <c r="D43" s="124"/>
      <c r="E43" s="124"/>
      <c r="F43" s="124"/>
      <c r="G43" s="124"/>
      <c r="I43" s="11"/>
      <c r="J43" s="6"/>
      <c r="K43" s="6"/>
      <c r="L43" s="6"/>
      <c r="M43" s="6"/>
    </row>
    <row r="44" spans="1:13" ht="14.25" x14ac:dyDescent="0.2">
      <c r="A44" s="38" t="s">
        <v>89</v>
      </c>
      <c r="B44" s="124"/>
      <c r="C44" s="124"/>
      <c r="D44" s="124"/>
      <c r="E44" s="124"/>
      <c r="F44" s="124"/>
      <c r="G44" s="124"/>
      <c r="H44" s="1"/>
      <c r="I44" s="11"/>
      <c r="J44" s="6"/>
      <c r="K44" s="6"/>
      <c r="L44" s="6"/>
      <c r="M44" s="6"/>
    </row>
    <row r="45" spans="1:13" ht="14.25" x14ac:dyDescent="0.2">
      <c r="A45" s="38" t="s">
        <v>158</v>
      </c>
      <c r="B45" s="38"/>
      <c r="C45" s="38"/>
      <c r="D45" s="38"/>
      <c r="E45" s="38"/>
      <c r="F45" s="38"/>
      <c r="G45" s="38"/>
      <c r="I45" s="11"/>
      <c r="J45" s="6"/>
      <c r="K45" s="6"/>
      <c r="L45" s="6"/>
      <c r="M45" s="6"/>
    </row>
    <row r="46" spans="1:13" ht="14.25" x14ac:dyDescent="0.2">
      <c r="A46" s="38" t="s">
        <v>26</v>
      </c>
      <c r="B46" s="71">
        <f ca="1">NOW()</f>
        <v>43661.432157291667</v>
      </c>
      <c r="C46" s="38"/>
      <c r="D46" s="38"/>
      <c r="E46" s="38"/>
      <c r="F46" s="38"/>
      <c r="G46" s="38"/>
      <c r="I46" s="12"/>
      <c r="J46" s="8"/>
      <c r="K46" s="8"/>
      <c r="L46" s="8"/>
      <c r="M46" s="8"/>
    </row>
    <row r="47" spans="1:13" ht="15.75" x14ac:dyDescent="0.25">
      <c r="F47" s="14"/>
      <c r="I47" s="12"/>
      <c r="J47" s="8"/>
      <c r="K47" s="8"/>
      <c r="L47" s="8"/>
      <c r="M47" s="8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2" spans="9:13" x14ac:dyDescent="0.2">
      <c r="I52" s="11"/>
      <c r="J52" s="11"/>
      <c r="K52" s="6"/>
      <c r="L52" s="6"/>
      <c r="M52" s="6"/>
    </row>
    <row r="53" spans="9:13" x14ac:dyDescent="0.2">
      <c r="I53" s="11"/>
      <c r="J53" s="11"/>
      <c r="K53" s="6"/>
      <c r="L53" s="6"/>
      <c r="M53" s="6"/>
    </row>
    <row r="55" spans="9:13" x14ac:dyDescent="0.2">
      <c r="I55" s="9"/>
      <c r="J55" s="9"/>
      <c r="K55" s="9"/>
      <c r="L55" s="9"/>
      <c r="M55" s="9"/>
    </row>
    <row r="56" spans="9:13" x14ac:dyDescent="0.2">
      <c r="I56" s="9"/>
      <c r="J56" s="9"/>
      <c r="K56" s="9"/>
      <c r="L56" s="9"/>
      <c r="M56" s="9"/>
    </row>
    <row r="57" spans="9:13" x14ac:dyDescent="0.2">
      <c r="J57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8"/>
  <sheetViews>
    <sheetView workbookViewId="0">
      <selection activeCell="B4" sqref="B4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46" t="s">
        <v>186</v>
      </c>
      <c r="B1" s="146"/>
      <c r="C1" s="146"/>
      <c r="D1" s="146"/>
      <c r="E1" s="146"/>
      <c r="F1" s="129"/>
      <c r="I1" s="10"/>
      <c r="J1" s="20"/>
    </row>
    <row r="2" spans="1:12" ht="14.25" x14ac:dyDescent="0.2">
      <c r="A2" s="146" t="s">
        <v>207</v>
      </c>
      <c r="B2" s="146"/>
      <c r="C2" s="146"/>
      <c r="D2" s="146"/>
      <c r="E2" s="146"/>
      <c r="F2" s="38"/>
    </row>
    <row r="3" spans="1:12" x14ac:dyDescent="0.2">
      <c r="A3" s="146" t="s">
        <v>208</v>
      </c>
      <c r="B3" s="167" t="s">
        <v>93</v>
      </c>
      <c r="C3" s="146"/>
      <c r="D3" s="146"/>
      <c r="E3" s="146"/>
      <c r="F3"/>
    </row>
    <row r="4" spans="1:12" x14ac:dyDescent="0.2">
      <c r="A4" s="146" t="s">
        <v>206</v>
      </c>
      <c r="B4" s="147">
        <v>-100</v>
      </c>
      <c r="C4" s="162"/>
      <c r="D4" s="162"/>
      <c r="E4" s="162"/>
      <c r="F4" s="139"/>
      <c r="I4" s="141"/>
      <c r="J4" s="142"/>
    </row>
    <row r="5" spans="1:12" x14ac:dyDescent="0.2">
      <c r="A5" s="146" t="s">
        <v>209</v>
      </c>
      <c r="B5" s="147">
        <v>-20</v>
      </c>
      <c r="C5" s="162"/>
      <c r="D5" s="162"/>
      <c r="E5" s="162"/>
      <c r="F5" s="139"/>
      <c r="I5" s="141"/>
      <c r="J5" s="142"/>
    </row>
    <row r="6" spans="1:12" x14ac:dyDescent="0.2">
      <c r="A6" s="146" t="s">
        <v>205</v>
      </c>
      <c r="B6" s="147">
        <v>0</v>
      </c>
      <c r="C6" s="162"/>
      <c r="D6" s="162"/>
      <c r="E6" s="162"/>
      <c r="F6" s="139"/>
      <c r="I6" s="141"/>
      <c r="J6" s="142"/>
    </row>
    <row r="7" spans="1:12" x14ac:dyDescent="0.2">
      <c r="A7" s="146" t="s">
        <v>204</v>
      </c>
      <c r="B7" s="147">
        <v>-800</v>
      </c>
      <c r="C7" s="162"/>
      <c r="D7" s="162"/>
      <c r="E7" s="162"/>
      <c r="F7" s="139"/>
      <c r="I7" s="141"/>
      <c r="J7" s="142"/>
    </row>
    <row r="8" spans="1:12" x14ac:dyDescent="0.2">
      <c r="A8" s="146" t="s">
        <v>203</v>
      </c>
      <c r="B8" s="147">
        <v>20</v>
      </c>
      <c r="C8" s="162"/>
      <c r="D8" s="162"/>
      <c r="E8" s="162"/>
      <c r="F8" s="139"/>
      <c r="I8" s="141"/>
      <c r="J8" s="142"/>
    </row>
    <row r="9" spans="1:12" x14ac:dyDescent="0.2">
      <c r="A9" s="146" t="s">
        <v>202</v>
      </c>
      <c r="B9" s="147">
        <v>-20</v>
      </c>
      <c r="C9" s="162"/>
      <c r="D9" s="162"/>
      <c r="E9" s="162"/>
      <c r="F9" s="139"/>
      <c r="H9" s="142"/>
      <c r="I9" s="141"/>
      <c r="J9" s="142"/>
    </row>
    <row r="10" spans="1:12" x14ac:dyDescent="0.2">
      <c r="A10" s="146" t="s">
        <v>201</v>
      </c>
      <c r="B10" s="147">
        <v>-130</v>
      </c>
      <c r="C10" s="154"/>
      <c r="D10" s="139"/>
      <c r="E10" s="155"/>
      <c r="F10" s="139"/>
      <c r="H10" s="142"/>
      <c r="I10" s="141"/>
      <c r="J10" s="142"/>
    </row>
    <row r="11" spans="1:12" ht="14.25" x14ac:dyDescent="0.2">
      <c r="A11" s="146" t="s">
        <v>200</v>
      </c>
      <c r="B11" s="147">
        <v>-250</v>
      </c>
      <c r="C11" s="38"/>
      <c r="D11" s="139"/>
      <c r="E11" s="139"/>
      <c r="F11" s="139"/>
      <c r="H11" s="142"/>
      <c r="I11" s="141"/>
    </row>
    <row r="12" spans="1:12" ht="14.25" x14ac:dyDescent="0.2">
      <c r="A12" s="146" t="s">
        <v>199</v>
      </c>
      <c r="B12" s="147">
        <v>-600</v>
      </c>
      <c r="C12" s="38"/>
      <c r="D12" s="139"/>
      <c r="E12" s="139"/>
      <c r="F12" s="139"/>
      <c r="H12" s="142"/>
      <c r="I12" s="141"/>
    </row>
    <row r="13" spans="1:12" ht="14.25" x14ac:dyDescent="0.2">
      <c r="A13" s="146" t="s">
        <v>198</v>
      </c>
      <c r="B13" s="147">
        <v>-50</v>
      </c>
      <c r="C13" s="38"/>
      <c r="D13" s="139"/>
      <c r="E13" s="139"/>
      <c r="F13" s="139"/>
      <c r="H13" s="142"/>
      <c r="I13" s="141"/>
    </row>
    <row r="14" spans="1:12" ht="14.25" x14ac:dyDescent="0.2">
      <c r="A14" s="146" t="s">
        <v>197</v>
      </c>
      <c r="B14" s="147">
        <v>-400</v>
      </c>
      <c r="C14" s="38"/>
      <c r="D14" s="139"/>
      <c r="E14" s="139"/>
      <c r="F14" s="139"/>
      <c r="H14" s="142"/>
      <c r="I14" s="141"/>
    </row>
    <row r="15" spans="1:12" x14ac:dyDescent="0.2">
      <c r="A15" s="146" t="s">
        <v>196</v>
      </c>
      <c r="B15" s="147">
        <v>-200</v>
      </c>
      <c r="C15" s="138"/>
      <c r="D15" s="142"/>
      <c r="E15" s="140"/>
      <c r="F15" s="142"/>
      <c r="H15" s="142"/>
    </row>
    <row r="16" spans="1:12" x14ac:dyDescent="0.2">
      <c r="A16" s="146" t="s">
        <v>195</v>
      </c>
      <c r="B16" s="147">
        <v>-400</v>
      </c>
      <c r="C16" s="138"/>
      <c r="D16" s="142"/>
      <c r="E16" s="140"/>
      <c r="F16" s="142"/>
      <c r="J16" s="139"/>
      <c r="K16" s="139"/>
      <c r="L16" s="139"/>
    </row>
    <row r="17" spans="1:11" x14ac:dyDescent="0.2">
      <c r="A17" s="146" t="s">
        <v>194</v>
      </c>
      <c r="B17" s="147">
        <v>-100</v>
      </c>
      <c r="C17" s="138"/>
      <c r="D17" s="142"/>
      <c r="E17" s="140"/>
      <c r="F17" s="142"/>
      <c r="J17" s="13"/>
      <c r="K17" s="13"/>
    </row>
    <row r="18" spans="1:11" x14ac:dyDescent="0.2">
      <c r="A18" s="146" t="s">
        <v>193</v>
      </c>
      <c r="B18" s="147">
        <v>-80</v>
      </c>
      <c r="C18" s="138"/>
      <c r="D18" s="142"/>
      <c r="E18" s="140"/>
      <c r="F18" s="142"/>
      <c r="H18" s="141"/>
      <c r="I18" s="141"/>
      <c r="J18" s="13"/>
      <c r="K18" s="13"/>
    </row>
    <row r="19" spans="1:11" x14ac:dyDescent="0.2">
      <c r="A19" s="146" t="s">
        <v>192</v>
      </c>
      <c r="B19" s="147">
        <v>-50</v>
      </c>
      <c r="C19" s="138"/>
      <c r="D19" s="142"/>
      <c r="E19" s="140"/>
      <c r="F19" s="142"/>
      <c r="H19" s="9"/>
      <c r="I19" s="141"/>
      <c r="J19" s="13"/>
      <c r="K19" s="13"/>
    </row>
    <row r="20" spans="1:11" x14ac:dyDescent="0.2">
      <c r="A20" s="146" t="s">
        <v>210</v>
      </c>
      <c r="B20" s="147">
        <v>-250</v>
      </c>
      <c r="C20" s="138"/>
      <c r="D20" s="142"/>
      <c r="E20" s="140"/>
      <c r="F20" s="142"/>
      <c r="H20" s="9"/>
      <c r="I20" s="141"/>
      <c r="J20" s="13"/>
      <c r="K20" s="13"/>
    </row>
    <row r="21" spans="1:11" x14ac:dyDescent="0.2">
      <c r="A21" s="146" t="s">
        <v>191</v>
      </c>
      <c r="B21" s="147">
        <v>-300</v>
      </c>
      <c r="C21" s="138"/>
      <c r="D21" s="142"/>
      <c r="E21" s="140"/>
      <c r="F21" s="142"/>
      <c r="H21" s="9"/>
      <c r="I21" s="141"/>
      <c r="J21" s="13"/>
      <c r="K21" s="13"/>
    </row>
    <row r="22" spans="1:11" x14ac:dyDescent="0.2">
      <c r="A22" s="146" t="s">
        <v>190</v>
      </c>
      <c r="B22" s="147">
        <v>-400</v>
      </c>
      <c r="C22" s="138"/>
      <c r="D22" s="142"/>
      <c r="E22" s="140"/>
      <c r="F22" s="142"/>
      <c r="H22" s="9"/>
      <c r="I22" s="141"/>
      <c r="J22" s="13"/>
      <c r="K22" s="13"/>
    </row>
    <row r="23" spans="1:11" x14ac:dyDescent="0.2">
      <c r="A23" s="146" t="s">
        <v>189</v>
      </c>
      <c r="B23" s="147">
        <v>-200</v>
      </c>
      <c r="C23" s="138"/>
      <c r="D23" s="9"/>
      <c r="E23" s="140"/>
      <c r="F23" s="9"/>
      <c r="H23" s="9"/>
      <c r="I23" s="141"/>
      <c r="J23" s="13"/>
      <c r="K23" s="13"/>
    </row>
    <row r="24" spans="1:11" x14ac:dyDescent="0.2">
      <c r="A24" s="146" t="s">
        <v>188</v>
      </c>
      <c r="B24" s="147">
        <v>-100</v>
      </c>
      <c r="C24" s="138"/>
      <c r="D24" s="9"/>
      <c r="E24" s="140"/>
      <c r="F24" s="9"/>
      <c r="H24" s="9"/>
      <c r="I24" s="141"/>
      <c r="J24" s="13"/>
      <c r="K24" s="13"/>
    </row>
    <row r="25" spans="1:11" x14ac:dyDescent="0.2">
      <c r="A25" s="146" t="s">
        <v>187</v>
      </c>
      <c r="B25" s="147">
        <v>0</v>
      </c>
      <c r="C25" s="138"/>
      <c r="D25" s="9"/>
      <c r="E25" s="140"/>
      <c r="F25" s="9"/>
      <c r="H25" s="9"/>
      <c r="I25" s="141"/>
      <c r="J25" s="13"/>
      <c r="K25" s="13"/>
    </row>
    <row r="26" spans="1:11" x14ac:dyDescent="0.2">
      <c r="A26" s="146"/>
      <c r="B26" s="147"/>
      <c r="C26" s="138"/>
      <c r="D26" s="9"/>
      <c r="E26" s="140"/>
      <c r="F26" s="9"/>
      <c r="H26" s="9"/>
      <c r="I26" s="141"/>
      <c r="J26" s="13"/>
      <c r="K26" s="13"/>
    </row>
    <row r="27" spans="1:11" x14ac:dyDescent="0.2">
      <c r="A27" s="146"/>
      <c r="B27" s="147"/>
      <c r="C27" s="138"/>
      <c r="D27" s="9"/>
      <c r="E27" s="140"/>
      <c r="F27" s="9"/>
      <c r="H27" s="9"/>
      <c r="I27" s="141"/>
      <c r="J27" s="13"/>
      <c r="K27" s="13"/>
    </row>
    <row r="28" spans="1:11" x14ac:dyDescent="0.2">
      <c r="A28" s="146"/>
      <c r="B28" s="147"/>
      <c r="C28" s="138"/>
      <c r="D28" s="9"/>
      <c r="E28" s="140"/>
      <c r="F28" s="9"/>
      <c r="H28" s="9"/>
      <c r="I28" s="141"/>
      <c r="J28" s="13"/>
      <c r="K28" s="13"/>
    </row>
    <row r="29" spans="1:11" x14ac:dyDescent="0.2">
      <c r="A29" s="146"/>
      <c r="B29" s="147"/>
      <c r="C29" s="138"/>
      <c r="D29" s="9"/>
      <c r="E29" s="140"/>
      <c r="F29" s="9"/>
      <c r="H29" s="9"/>
      <c r="I29" s="141"/>
    </row>
    <row r="30" spans="1:11" x14ac:dyDescent="0.2">
      <c r="A30" s="146"/>
      <c r="B30" s="147"/>
      <c r="C30" s="19"/>
      <c r="D30" s="9"/>
      <c r="E30" s="9"/>
      <c r="F30" s="9"/>
      <c r="H30" s="9"/>
      <c r="I30" s="141"/>
    </row>
    <row r="31" spans="1:11" x14ac:dyDescent="0.2">
      <c r="A31" s="146"/>
      <c r="B31" s="147"/>
      <c r="C31" s="19"/>
      <c r="D31" s="9"/>
      <c r="E31" s="141"/>
      <c r="F31" s="141"/>
      <c r="H31" s="141"/>
      <c r="I31" s="141"/>
    </row>
    <row r="32" spans="1:11" x14ac:dyDescent="0.2">
      <c r="A32" s="146"/>
      <c r="B32" s="147"/>
      <c r="C32" s="19"/>
      <c r="D32" s="141"/>
      <c r="E32" s="141"/>
      <c r="F32" s="141"/>
      <c r="H32" s="141"/>
      <c r="I32" s="141"/>
    </row>
    <row r="33" spans="1:9" x14ac:dyDescent="0.2">
      <c r="A33" s="146"/>
      <c r="B33" s="147"/>
      <c r="C33" s="19"/>
      <c r="D33" s="141"/>
      <c r="E33" s="141"/>
      <c r="F33" s="141"/>
      <c r="H33" s="141"/>
      <c r="I33" s="141"/>
    </row>
    <row r="34" spans="1:9" x14ac:dyDescent="0.2">
      <c r="A34" s="146"/>
      <c r="B34" s="147"/>
      <c r="C34" s="19"/>
      <c r="D34" s="19"/>
      <c r="E34" s="13"/>
      <c r="F34" s="13"/>
      <c r="H34" s="13"/>
    </row>
    <row r="35" spans="1:9" x14ac:dyDescent="0.2">
      <c r="A35" s="146"/>
      <c r="B35" s="147"/>
      <c r="C35" s="19"/>
      <c r="D35" s="19"/>
      <c r="E35" s="13"/>
      <c r="F35" s="13"/>
      <c r="H35" s="13"/>
    </row>
    <row r="36" spans="1:9" x14ac:dyDescent="0.2">
      <c r="A36" s="146"/>
      <c r="B36" s="147"/>
      <c r="C36" s="19"/>
      <c r="D36" s="19"/>
      <c r="E36" s="13"/>
      <c r="F36" s="13"/>
      <c r="H36" s="13"/>
    </row>
    <row r="37" spans="1:9" x14ac:dyDescent="0.2">
      <c r="A37" s="146"/>
      <c r="B37" s="147"/>
      <c r="C37" s="19"/>
      <c r="D37" s="19"/>
      <c r="E37" s="13"/>
      <c r="F37" s="13"/>
      <c r="H37" s="13"/>
    </row>
    <row r="38" spans="1:9" x14ac:dyDescent="0.2">
      <c r="A38" s="146"/>
      <c r="B38" s="147"/>
      <c r="C38" s="19"/>
      <c r="D38" s="19"/>
      <c r="E38" s="13"/>
      <c r="F38" s="13"/>
      <c r="H38" s="13"/>
    </row>
    <row r="39" spans="1:9" x14ac:dyDescent="0.2">
      <c r="A39" s="146"/>
      <c r="B39" s="147"/>
      <c r="C39" s="19"/>
      <c r="D39" s="19"/>
      <c r="E39" s="13"/>
      <c r="F39" s="13"/>
      <c r="H39" s="13"/>
    </row>
    <row r="40" spans="1:9" x14ac:dyDescent="0.2">
      <c r="A40" s="146"/>
      <c r="B40" s="147"/>
      <c r="C40" s="19"/>
      <c r="D40" s="19"/>
      <c r="E40" s="13"/>
      <c r="F40" s="13"/>
      <c r="H40" s="13"/>
    </row>
    <row r="41" spans="1:9" x14ac:dyDescent="0.2">
      <c r="A41" s="146"/>
      <c r="B41" s="147"/>
      <c r="C41" s="19"/>
      <c r="D41" s="19"/>
      <c r="E41" s="13"/>
      <c r="F41" s="13"/>
      <c r="H41" s="13"/>
    </row>
    <row r="42" spans="1:9" x14ac:dyDescent="0.2">
      <c r="A42" s="146"/>
      <c r="B42" s="147"/>
      <c r="C42" s="19"/>
      <c r="D42" s="19"/>
      <c r="E42" s="13"/>
      <c r="F42" s="13"/>
      <c r="H42" s="13"/>
    </row>
    <row r="43" spans="1:9" x14ac:dyDescent="0.2">
      <c r="A43" s="146"/>
      <c r="B43" s="147"/>
      <c r="C43" s="19"/>
      <c r="D43" s="19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sortState ref="A4:B25">
    <sortCondition descending="1" ref="A4:A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OCS-19g, July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2019-07-15T14:22:18Z</dcterms:modified>
  <cp:category>Oilseeds</cp:category>
</cp:coreProperties>
</file>