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02_Sugar TRQ Data\Circular\Publish External\FY 2022\"/>
    </mc:Choice>
  </mc:AlternateContent>
  <xr:revisionPtr revIDLastSave="0" documentId="13_ncr:1_{F8BB8293-4BDB-4990-A676-F65134C60B69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Cover Page " sheetId="139" r:id="rId1"/>
    <sheet name="Table 1 WASDE" sheetId="74" r:id="rId2"/>
    <sheet name="Table 2 Mexico" sheetId="231" r:id="rId3"/>
    <sheet name="Table 3A WTO Raw  " sheetId="1" r:id="rId4"/>
    <sheet name="Table 3B Raw  " sheetId="236" r:id="rId5"/>
    <sheet name="Table 4 Refined" sheetId="8" r:id="rId6"/>
    <sheet name="Table 5 FTAs " sheetId="54" r:id="rId7"/>
    <sheet name="Tables 6,7 Re-Export " sheetId="116" r:id="rId8"/>
    <sheet name="Table 8A FY 2022 " sheetId="230" r:id="rId9"/>
    <sheet name="Table 8B FY 2023" sheetId="240" r:id="rId10"/>
    <sheet name="Table 9 Re-Export " sheetId="239" r:id="rId11"/>
    <sheet name="Table 10 High Duty " sheetId="244" r:id="rId12"/>
    <sheet name="Tables 11A,11B SCP" sheetId="45" r:id="rId13"/>
  </sheets>
  <externalReferences>
    <externalReference r:id="rId14"/>
  </externalReferences>
  <definedNames>
    <definedName name="CCCInv" localSheetId="2">#REF!</definedName>
    <definedName name="CCCInv" localSheetId="4">#REF!</definedName>
    <definedName name="CCCInv" localSheetId="8">#REF!</definedName>
    <definedName name="CCCInv" localSheetId="9">#REF!</definedName>
    <definedName name="CCCInv" localSheetId="10">#REF!</definedName>
    <definedName name="CCCInv">#REF!</definedName>
    <definedName name="CertificateGains" localSheetId="2">#REF!</definedName>
    <definedName name="CertificateGains" localSheetId="4">#REF!</definedName>
    <definedName name="CertificateGains" localSheetId="8">#REF!</definedName>
    <definedName name="CertificateGains" localSheetId="9">#REF!</definedName>
    <definedName name="CertificateGains" localSheetId="10">#REF!</definedName>
    <definedName name="CertificateGains">#REF!</definedName>
    <definedName name="ComplyAcres" localSheetId="2">#REF!</definedName>
    <definedName name="ComplyAcres" localSheetId="4">#REF!</definedName>
    <definedName name="ComplyAcres" localSheetId="8">#REF!</definedName>
    <definedName name="ComplyAcres" localSheetId="9">#REF!</definedName>
    <definedName name="ComplyAcres" localSheetId="10">#REF!</definedName>
    <definedName name="ComplyAcres">#REF!</definedName>
    <definedName name="ContractPaymentAcres" localSheetId="2">#REF!</definedName>
    <definedName name="ContractPaymentAcres" localSheetId="4">#REF!</definedName>
    <definedName name="ContractPaymentAcres" localSheetId="8">#REF!</definedName>
    <definedName name="ContractPaymentAcres" localSheetId="9">#REF!</definedName>
    <definedName name="ContractPaymentAcres" localSheetId="10">#REF!</definedName>
    <definedName name="ContractPaymentAcres">#REF!</definedName>
    <definedName name="CountercyclicalPaymentRate" localSheetId="2">#REF!</definedName>
    <definedName name="CountercyclicalPaymentRate" localSheetId="4">#REF!</definedName>
    <definedName name="CountercyclicalPaymentRate" localSheetId="8">#REF!</definedName>
    <definedName name="CountercyclicalPaymentRate" localSheetId="9">#REF!</definedName>
    <definedName name="CountercyclicalPaymentRate" localSheetId="10">#REF!</definedName>
    <definedName name="CountercyclicalPaymentRate">#REF!</definedName>
    <definedName name="CountercyclicalPayments" localSheetId="2">#REF!</definedName>
    <definedName name="CountercyclicalPayments" localSheetId="4">#REF!</definedName>
    <definedName name="CountercyclicalPayments" localSheetId="8">#REF!</definedName>
    <definedName name="CountercyclicalPayments" localSheetId="9">#REF!</definedName>
    <definedName name="CountercyclicalPayments" localSheetId="10">#REF!</definedName>
    <definedName name="CountercyclicalPayments">#REF!</definedName>
    <definedName name="CountercyclicalPaymentYield" localSheetId="2">#REF!</definedName>
    <definedName name="CountercyclicalPaymentYield" localSheetId="4">#REF!</definedName>
    <definedName name="CountercyclicalPaymentYield" localSheetId="8">#REF!</definedName>
    <definedName name="CountercyclicalPaymentYield" localSheetId="9">#REF!</definedName>
    <definedName name="CountercyclicalPaymentYield" localSheetId="10">#REF!</definedName>
    <definedName name="CountercyclicalPaymentYield">#REF!</definedName>
    <definedName name="CRPHistory" localSheetId="2">#REF!</definedName>
    <definedName name="CRPHistory" localSheetId="4">#REF!</definedName>
    <definedName name="CRPHistory" localSheetId="8">#REF!</definedName>
    <definedName name="CRPHistory" localSheetId="9">#REF!</definedName>
    <definedName name="CRPHistory" localSheetId="10">#REF!</definedName>
    <definedName name="CRPHistory">#REF!</definedName>
    <definedName name="CRPPayments" localSheetId="2">#REF!</definedName>
    <definedName name="CRPPayments" localSheetId="4">#REF!</definedName>
    <definedName name="CRPPayments" localSheetId="8">#REF!</definedName>
    <definedName name="CRPPayments" localSheetId="9">#REF!</definedName>
    <definedName name="CRPPayments" localSheetId="10">#REF!</definedName>
    <definedName name="CRPPayments">#REF!</definedName>
    <definedName name="DiffUnaccounted" localSheetId="2">#REF!</definedName>
    <definedName name="DiffUnaccounted" localSheetId="4">#REF!</definedName>
    <definedName name="DiffUnaccounted" localSheetId="8">#REF!</definedName>
    <definedName name="DiffUnaccounted" localSheetId="9">#REF!</definedName>
    <definedName name="DiffUnaccounted" localSheetId="10">#REF!</definedName>
    <definedName name="DiffUnaccounted">#REF!</definedName>
    <definedName name="DirectCounterCyclicalPayments" localSheetId="2">#REF!</definedName>
    <definedName name="DirectCounterCyclicalPayments" localSheetId="4">#REF!</definedName>
    <definedName name="DirectCounterCyclicalPayments" localSheetId="8">#REF!</definedName>
    <definedName name="DirectCounterCyclicalPayments" localSheetId="9">#REF!</definedName>
    <definedName name="DirectCounterCyclicalPayments" localSheetId="10">#REF!</definedName>
    <definedName name="DirectCounterCyclicalPayments">#REF!</definedName>
    <definedName name="DirectPaymentRate" localSheetId="2">#REF!</definedName>
    <definedName name="DirectPaymentRate" localSheetId="4">#REF!</definedName>
    <definedName name="DirectPaymentRate" localSheetId="8">#REF!</definedName>
    <definedName name="DirectPaymentRate" localSheetId="9">#REF!</definedName>
    <definedName name="DirectPaymentRate" localSheetId="10">#REF!</definedName>
    <definedName name="DirectPaymentRate">#REF!</definedName>
    <definedName name="DirectPayments" localSheetId="2">#REF!</definedName>
    <definedName name="DirectPayments" localSheetId="4">#REF!</definedName>
    <definedName name="DirectPayments" localSheetId="8">#REF!</definedName>
    <definedName name="DirectPayments" localSheetId="9">#REF!</definedName>
    <definedName name="DirectPayments" localSheetId="10">#REF!</definedName>
    <definedName name="DirectPayments">#REF!</definedName>
    <definedName name="DirectPaymentsExtract" localSheetId="2">[1]ExtractFileForDirect!#REF!</definedName>
    <definedName name="DirectPaymentsExtract" localSheetId="4">[1]ExtractFileForDirect!#REF!</definedName>
    <definedName name="DirectPaymentsExtract" localSheetId="8">[1]ExtractFileForDirect!#REF!</definedName>
    <definedName name="DirectPaymentsExtract" localSheetId="9">[1]ExtractFileForDirect!#REF!</definedName>
    <definedName name="DirectPaymentsExtract">[1]ExtractFileForDirect!#REF!</definedName>
    <definedName name="DirectPaymentYield" localSheetId="2">#REF!</definedName>
    <definedName name="DirectPaymentYield" localSheetId="4">#REF!</definedName>
    <definedName name="DirectPaymentYield" localSheetId="8">#REF!</definedName>
    <definedName name="DirectPaymentYield" localSheetId="9">#REF!</definedName>
    <definedName name="DirectPaymentYield" localSheetId="10">#REF!</definedName>
    <definedName name="DirectPaymentYield">#REF!</definedName>
    <definedName name="Domestic" localSheetId="2">#REF!</definedName>
    <definedName name="Domestic" localSheetId="4">#REF!</definedName>
    <definedName name="Domestic" localSheetId="8">#REF!</definedName>
    <definedName name="Domestic" localSheetId="9">#REF!</definedName>
    <definedName name="Domestic" localSheetId="10">#REF!</definedName>
    <definedName name="Domestic">#REF!</definedName>
    <definedName name="Effective" localSheetId="2">#REF!</definedName>
    <definedName name="Effective" localSheetId="4">#REF!</definedName>
    <definedName name="Effective" localSheetId="8">#REF!</definedName>
    <definedName name="Effective" localSheetId="9">#REF!</definedName>
    <definedName name="Effective" localSheetId="10">#REF!</definedName>
    <definedName name="Effective">#REF!</definedName>
    <definedName name="EV__LASTREFTIME__" hidden="1">38283.519537037</definedName>
    <definedName name="ExcelName13">#N/A</definedName>
    <definedName name="FarmValueOfProd" localSheetId="2">#REF!</definedName>
    <definedName name="FarmValueOfProd" localSheetId="4">#REF!</definedName>
    <definedName name="FarmValueOfProd" localSheetId="8">#REF!</definedName>
    <definedName name="FarmValueOfProd" localSheetId="9">#REF!</definedName>
    <definedName name="FarmValueOfProd" localSheetId="10">#REF!</definedName>
    <definedName name="FarmValueOfProd">#REF!</definedName>
    <definedName name="FISCAL" localSheetId="2">#REF!</definedName>
    <definedName name="FISCAL" localSheetId="4">#REF!</definedName>
    <definedName name="FISCAL" localSheetId="8">#REF!</definedName>
    <definedName name="FISCAL" localSheetId="9">#REF!</definedName>
    <definedName name="FISCAL" localSheetId="10">#REF!</definedName>
    <definedName name="FISCAL">#REF!</definedName>
    <definedName name="FixedDecoupledPayments" localSheetId="2">#REF!</definedName>
    <definedName name="FixedDecoupledPayments" localSheetId="4">#REF!</definedName>
    <definedName name="FixedDecoupledPayments" localSheetId="8">#REF!</definedName>
    <definedName name="FixedDecoupledPayments" localSheetId="9">#REF!</definedName>
    <definedName name="FixedDecoupledPayments" localSheetId="10">#REF!</definedName>
    <definedName name="FixedDecoupledPayments">#REF!</definedName>
    <definedName name="FreeStocks" localSheetId="2">#REF!</definedName>
    <definedName name="FreeStocks" localSheetId="4">#REF!</definedName>
    <definedName name="FreeStocks" localSheetId="8">#REF!</definedName>
    <definedName name="FreeStocks" localSheetId="9">#REF!</definedName>
    <definedName name="FreeStocks" localSheetId="10">#REF!</definedName>
    <definedName name="FreeStocks">#REF!</definedName>
    <definedName name="HarvestedAcres" localSheetId="2">#REF!</definedName>
    <definedName name="HarvestedAcres" localSheetId="4">#REF!</definedName>
    <definedName name="HarvestedAcres" localSheetId="8">#REF!</definedName>
    <definedName name="HarvestedAcres" localSheetId="9">#REF!</definedName>
    <definedName name="HarvestedAcres" localSheetId="10">#REF!</definedName>
    <definedName name="HarvestedAcres">#REF!</definedName>
    <definedName name="HarvestedYield" localSheetId="2">#REF!</definedName>
    <definedName name="HarvestedYield" localSheetId="4">#REF!</definedName>
    <definedName name="HarvestedYield" localSheetId="8">#REF!</definedName>
    <definedName name="HarvestedYield" localSheetId="9">#REF!</definedName>
    <definedName name="HarvestedYield" localSheetId="10">#REF!</definedName>
    <definedName name="HarvestedYield">#REF!</definedName>
    <definedName name="Hoja1_Query">#N/A</definedName>
    <definedName name="Imports" localSheetId="2">#REF!</definedName>
    <definedName name="Imports" localSheetId="4">#REF!</definedName>
    <definedName name="Imports" localSheetId="8">#REF!</definedName>
    <definedName name="Imports" localSheetId="9">#REF!</definedName>
    <definedName name="Imports" localSheetId="10">#REF!</definedName>
    <definedName name="Imports">#REF!</definedName>
    <definedName name="LDPs" localSheetId="2">#REF!</definedName>
    <definedName name="LDPs" localSheetId="4">#REF!</definedName>
    <definedName name="LDPs" localSheetId="8">#REF!</definedName>
    <definedName name="LDPs" localSheetId="9">#REF!</definedName>
    <definedName name="LDPs" localSheetId="10">#REF!</definedName>
    <definedName name="LDPs">#REF!</definedName>
    <definedName name="LoanDeficiencyPayments" localSheetId="2">#REF!</definedName>
    <definedName name="LoanDeficiencyPayments" localSheetId="4">#REF!</definedName>
    <definedName name="LoanDeficiencyPayments" localSheetId="8">#REF!</definedName>
    <definedName name="LoanDeficiencyPayments" localSheetId="9">#REF!</definedName>
    <definedName name="LoanDeficiencyPayments" localSheetId="10">#REF!</definedName>
    <definedName name="LoanDeficiencyPayments">#REF!</definedName>
    <definedName name="LoanRate" localSheetId="2">#REF!</definedName>
    <definedName name="LoanRate" localSheetId="4">#REF!</definedName>
    <definedName name="LoanRate" localSheetId="8">#REF!</definedName>
    <definedName name="LoanRate" localSheetId="9">#REF!</definedName>
    <definedName name="LoanRate" localSheetId="10">#REF!</definedName>
    <definedName name="LoanRate">#REF!</definedName>
    <definedName name="LoanRePaymntRate" localSheetId="2">#REF!</definedName>
    <definedName name="LoanRePaymntRate" localSheetId="4">#REF!</definedName>
    <definedName name="LoanRePaymntRate" localSheetId="8">#REF!</definedName>
    <definedName name="LoanRePaymntRate" localSheetId="9">#REF!</definedName>
    <definedName name="LoanRePaymntRate" localSheetId="10">#REF!</definedName>
    <definedName name="LoanRePaymntRate">#REF!</definedName>
    <definedName name="LoansCertGains" localSheetId="2">#REF!</definedName>
    <definedName name="LoansCertGains" localSheetId="4">#REF!</definedName>
    <definedName name="LoansCertGains" localSheetId="8">#REF!</definedName>
    <definedName name="LoansCertGains" localSheetId="9">#REF!</definedName>
    <definedName name="LoansCertGains" localSheetId="10">#REF!</definedName>
    <definedName name="LoansCertGains">#REF!</definedName>
    <definedName name="LoansCertPurchasesCwt" localSheetId="2">#REF!</definedName>
    <definedName name="LoansCertPurchasesCwt" localSheetId="4">#REF!</definedName>
    <definedName name="LoansCertPurchasesCwt" localSheetId="8">#REF!</definedName>
    <definedName name="LoansCertPurchasesCwt" localSheetId="9">#REF!</definedName>
    <definedName name="LoansCertPurchasesCwt" localSheetId="10">#REF!</definedName>
    <definedName name="LoansCertPurchasesCwt">#REF!</definedName>
    <definedName name="LoansCertPurchasesDoll" localSheetId="2">#REF!</definedName>
    <definedName name="LoansCertPurchasesDoll" localSheetId="4">#REF!</definedName>
    <definedName name="LoansCertPurchasesDoll" localSheetId="8">#REF!</definedName>
    <definedName name="LoansCertPurchasesDoll" localSheetId="9">#REF!</definedName>
    <definedName name="LoansCertPurchasesDoll" localSheetId="10">#REF!</definedName>
    <definedName name="LoansCertPurchasesDoll">#REF!</definedName>
    <definedName name="LoansOutstanding" localSheetId="2">#REF!</definedName>
    <definedName name="LoansOutstanding" localSheetId="4">#REF!</definedName>
    <definedName name="LoansOutstanding" localSheetId="8">#REF!</definedName>
    <definedName name="LoansOutstanding" localSheetId="9">#REF!</definedName>
    <definedName name="LoansOutstanding" localSheetId="10">#REF!</definedName>
    <definedName name="LoansOutstanding">#REF!</definedName>
    <definedName name="LoansRepaidCYFY_2" localSheetId="2">#REF!</definedName>
    <definedName name="LoansRepaidCYFY_2" localSheetId="4">#REF!</definedName>
    <definedName name="LoansRepaidCYFY_2" localSheetId="8">#REF!</definedName>
    <definedName name="LoansRepaidCYFY_2" localSheetId="9">#REF!</definedName>
    <definedName name="LoansRepaidCYFY_2" localSheetId="10">#REF!</definedName>
    <definedName name="LoansRepaidCYFY_2">#REF!</definedName>
    <definedName name="MarketingLoanWriteOffs" localSheetId="2">#REF!</definedName>
    <definedName name="MarketingLoanWriteOffs" localSheetId="4">#REF!</definedName>
    <definedName name="MarketingLoanWriteOffs" localSheetId="8">#REF!</definedName>
    <definedName name="MarketingLoanWriteOffs" localSheetId="9">#REF!</definedName>
    <definedName name="MarketingLoanWriteOffs" localSheetId="10">#REF!</definedName>
    <definedName name="MarketingLoanWriteOffs">#REF!</definedName>
    <definedName name="Marketings" localSheetId="2">#REF!</definedName>
    <definedName name="Marketings" localSheetId="4">#REF!</definedName>
    <definedName name="Marketings" localSheetId="8">#REF!</definedName>
    <definedName name="Marketings" localSheetId="9">#REF!</definedName>
    <definedName name="Marketings" localSheetId="10">#REF!</definedName>
    <definedName name="Marketings">#REF!</definedName>
    <definedName name="MarketReturns" localSheetId="2">#REF!</definedName>
    <definedName name="MarketReturns" localSheetId="4">#REF!</definedName>
    <definedName name="MarketReturns" localSheetId="8">#REF!</definedName>
    <definedName name="MarketReturns" localSheetId="9">#REF!</definedName>
    <definedName name="MarketReturns" localSheetId="10">#REF!</definedName>
    <definedName name="MarketReturns">#REF!</definedName>
    <definedName name="MO_GoatsClipped" localSheetId="2">#REF!</definedName>
    <definedName name="MO_GoatsClipped" localSheetId="4">#REF!</definedName>
    <definedName name="MO_GoatsClipped" localSheetId="8">#REF!</definedName>
    <definedName name="MO_GoatsClipped" localSheetId="9">#REF!</definedName>
    <definedName name="MO_GoatsClipped" localSheetId="10">#REF!</definedName>
    <definedName name="MO_GoatsClipped">#REF!</definedName>
    <definedName name="MO_LDPs" localSheetId="2">#REF!</definedName>
    <definedName name="MO_LDPs" localSheetId="4">#REF!</definedName>
    <definedName name="MO_LDPs" localSheetId="8">#REF!</definedName>
    <definedName name="MO_LDPs" localSheetId="9">#REF!</definedName>
    <definedName name="MO_LDPs" localSheetId="10">#REF!</definedName>
    <definedName name="MO_LDPs">#REF!</definedName>
    <definedName name="MO_LoanDeficiencyPayments" localSheetId="2">#REF!</definedName>
    <definedName name="MO_LoanDeficiencyPayments" localSheetId="4">#REF!</definedName>
    <definedName name="MO_LoanDeficiencyPayments" localSheetId="8">#REF!</definedName>
    <definedName name="MO_LoanDeficiencyPayments" localSheetId="9">#REF!</definedName>
    <definedName name="MO_LoanDeficiencyPayments" localSheetId="10">#REF!</definedName>
    <definedName name="MO_LoanDeficiencyPayments">#REF!</definedName>
    <definedName name="MO_LoansMadeByCwt" localSheetId="2">#REF!</definedName>
    <definedName name="MO_LoansMadeByCwt" localSheetId="4">#REF!</definedName>
    <definedName name="MO_LoansMadeByCwt" localSheetId="8">#REF!</definedName>
    <definedName name="MO_LoansMadeByCwt" localSheetId="9">#REF!</definedName>
    <definedName name="MO_LoansMadeByCwt" localSheetId="10">#REF!</definedName>
    <definedName name="MO_LoansMadeByCwt">#REF!</definedName>
    <definedName name="MO_LoansMadeByDoll" localSheetId="2">#REF!</definedName>
    <definedName name="MO_LoansMadeByDoll" localSheetId="4">#REF!</definedName>
    <definedName name="MO_LoansMadeByDoll" localSheetId="8">#REF!</definedName>
    <definedName name="MO_LoansMadeByDoll" localSheetId="9">#REF!</definedName>
    <definedName name="MO_LoansMadeByDoll" localSheetId="10">#REF!</definedName>
    <definedName name="MO_LoansMadeByDoll">#REF!</definedName>
    <definedName name="MO_LoansRepaidByCwt" localSheetId="2">#REF!</definedName>
    <definedName name="MO_LoansRepaidByCwt" localSheetId="4">#REF!</definedName>
    <definedName name="MO_LoansRepaidByCwt" localSheetId="8">#REF!</definedName>
    <definedName name="MO_LoansRepaidByCwt" localSheetId="9">#REF!</definedName>
    <definedName name="MO_LoansRepaidByCwt" localSheetId="10">#REF!</definedName>
    <definedName name="MO_LoansRepaidByCwt">#REF!</definedName>
    <definedName name="MO_LoansRepaidByDoll" localSheetId="2">#REF!</definedName>
    <definedName name="MO_LoansRepaidByDoll" localSheetId="4">#REF!</definedName>
    <definedName name="MO_LoansRepaidByDoll" localSheetId="8">#REF!</definedName>
    <definedName name="MO_LoansRepaidByDoll" localSheetId="9">#REF!</definedName>
    <definedName name="MO_LoansRepaidByDoll" localSheetId="10">#REF!</definedName>
    <definedName name="MO_LoansRepaidByDoll">#REF!</definedName>
    <definedName name="MO_MarketingLoanWriteOffs" localSheetId="2">#REF!</definedName>
    <definedName name="MO_MarketingLoanWriteOffs" localSheetId="4">#REF!</definedName>
    <definedName name="MO_MarketingLoanWriteOffs" localSheetId="8">#REF!</definedName>
    <definedName name="MO_MarketingLoanWriteOffs" localSheetId="9">#REF!</definedName>
    <definedName name="MO_MarketingLoanWriteOffs" localSheetId="10">#REF!</definedName>
    <definedName name="MO_MarketingLoanWriteOffs">#REF!</definedName>
    <definedName name="MO_Marketings" localSheetId="2">#REF!</definedName>
    <definedName name="MO_Marketings" localSheetId="4">#REF!</definedName>
    <definedName name="MO_Marketings" localSheetId="8">#REF!</definedName>
    <definedName name="MO_Marketings" localSheetId="9">#REF!</definedName>
    <definedName name="MO_Marketings" localSheetId="10">#REF!</definedName>
    <definedName name="MO_Marketings">#REF!</definedName>
    <definedName name="MO_MarketReturns" localSheetId="2">#REF!</definedName>
    <definedName name="MO_MarketReturns" localSheetId="4">#REF!</definedName>
    <definedName name="MO_MarketReturns" localSheetId="8">#REF!</definedName>
    <definedName name="MO_MarketReturns" localSheetId="9">#REF!</definedName>
    <definedName name="MO_MarketReturns" localSheetId="10">#REF!</definedName>
    <definedName name="MO_MarketReturns">#REF!</definedName>
    <definedName name="MO_Yield" localSheetId="2">#REF!</definedName>
    <definedName name="MO_Yield" localSheetId="4">#REF!</definedName>
    <definedName name="MO_Yield" localSheetId="8">#REF!</definedName>
    <definedName name="MO_Yield" localSheetId="9">#REF!</definedName>
    <definedName name="MO_Yield" localSheetId="10">#REF!</definedName>
    <definedName name="MO_Yield">#REF!</definedName>
    <definedName name="MohairPayments" localSheetId="2">#REF!</definedName>
    <definedName name="MohairPayments" localSheetId="4">#REF!</definedName>
    <definedName name="MohairPayments" localSheetId="8">#REF!</definedName>
    <definedName name="MohairPayments" localSheetId="9">#REF!</definedName>
    <definedName name="MohairPayments" localSheetId="10">#REF!</definedName>
    <definedName name="MohairPayments">#REF!</definedName>
    <definedName name="new_table" localSheetId="2">#REF!</definedName>
    <definedName name="new_table" localSheetId="4">#REF!</definedName>
    <definedName name="new_table" localSheetId="8">#REF!</definedName>
    <definedName name="new_table" localSheetId="9">#REF!</definedName>
    <definedName name="new_table" localSheetId="10">#REF!</definedName>
    <definedName name="new_table">#REF!</definedName>
    <definedName name="NumberGoatsClipped" localSheetId="2">#REF!</definedName>
    <definedName name="NumberGoatsClipped" localSheetId="4">#REF!</definedName>
    <definedName name="NumberGoatsClipped" localSheetId="8">#REF!</definedName>
    <definedName name="NumberGoatsClipped" localSheetId="9">#REF!</definedName>
    <definedName name="NumberGoatsClipped" localSheetId="10">#REF!</definedName>
    <definedName name="NumberGoatsClipped">#REF!</definedName>
    <definedName name="OldTable" localSheetId="2">#REF!</definedName>
    <definedName name="OldTable" localSheetId="4">#REF!</definedName>
    <definedName name="OldTable" localSheetId="8">#REF!</definedName>
    <definedName name="OldTable" localSheetId="9">#REF!</definedName>
    <definedName name="OldTable" localSheetId="10">#REF!</definedName>
    <definedName name="OldTable">#REF!</definedName>
    <definedName name="OTHER" localSheetId="2">#REF!</definedName>
    <definedName name="OTHER" localSheetId="4">#REF!</definedName>
    <definedName name="OTHER" localSheetId="8">#REF!</definedName>
    <definedName name="OTHER" localSheetId="9">#REF!</definedName>
    <definedName name="OTHER" localSheetId="10">#REF!</definedName>
    <definedName name="OTHER">#REF!</definedName>
    <definedName name="PlantedAcres" localSheetId="2">#REF!</definedName>
    <definedName name="PlantedAcres" localSheetId="4">#REF!</definedName>
    <definedName name="PlantedAcres" localSheetId="8">#REF!</definedName>
    <definedName name="PlantedAcres" localSheetId="9">#REF!</definedName>
    <definedName name="PlantedAcres" localSheetId="10">#REF!</definedName>
    <definedName name="PlantedAcres">#REF!</definedName>
    <definedName name="price" localSheetId="2">#REF!</definedName>
    <definedName name="price" localSheetId="4">#REF!</definedName>
    <definedName name="price" localSheetId="8">#REF!</definedName>
    <definedName name="price" localSheetId="9">#REF!</definedName>
    <definedName name="price" localSheetId="10">#REF!</definedName>
    <definedName name="price">#REF!</definedName>
    <definedName name="_xlnm.Print_Area" localSheetId="0">'Cover Page '!$B$3:$P$15</definedName>
    <definedName name="_xlnm.Print_Area" localSheetId="1">'Table 1 WASDE'!$A$1:$Q$31</definedName>
    <definedName name="_xlnm.Print_Area" localSheetId="2">'Table 2 Mexico'!$A$1:$N$28</definedName>
    <definedName name="_xlnm.Print_Area" localSheetId="3">'Table 3A WTO Raw  '!$A$1:$U$52</definedName>
    <definedName name="_xlnm.Print_Area" localSheetId="4">'Table 3B Raw  '!$A$1:$F$47</definedName>
    <definedName name="_xlnm.Print_Area" localSheetId="5">'Table 4 Refined'!$A$1:$P$24</definedName>
    <definedName name="_xlnm.Print_Area" localSheetId="6">'Table 5 FTAs '!$A$1:$S$42</definedName>
    <definedName name="_xlnm.Print_Area" localSheetId="8">'Table 8A FY 2022 '!$A$1:$I$64</definedName>
    <definedName name="_xlnm.Print_Area" localSheetId="9">'Table 8B FY 2023'!$A$1:$H$59</definedName>
    <definedName name="_xlnm.Print_Area" localSheetId="10">'Table 9 Re-Export '!$A$1:$L$50</definedName>
    <definedName name="_xlnm.Print_Area" localSheetId="12">'Tables 11A,11B SCP'!$A$1:$R$25</definedName>
    <definedName name="_xlnm.Print_Area" localSheetId="7">'Tables 6,7 Re-Export '!$A$1:$N$51</definedName>
    <definedName name="_xlnm.Print_Area">#N/A</definedName>
    <definedName name="Print_Area_MI">#N/A</definedName>
    <definedName name="_xlnm.Print_Titles">#N/A</definedName>
    <definedName name="Production" localSheetId="2">#REF!</definedName>
    <definedName name="Production" localSheetId="4">#REF!</definedName>
    <definedName name="Production" localSheetId="8">#REF!</definedName>
    <definedName name="Production" localSheetId="9">#REF!</definedName>
    <definedName name="Production" localSheetId="10">#REF!</definedName>
    <definedName name="Production">#REF!</definedName>
    <definedName name="ProductionFlexibilityPayments" localSheetId="2">#REF!</definedName>
    <definedName name="ProductionFlexibilityPayments" localSheetId="4">#REF!</definedName>
    <definedName name="ProductionFlexibilityPayments" localSheetId="8">#REF!</definedName>
    <definedName name="ProductionFlexibilityPayments" localSheetId="9">#REF!</definedName>
    <definedName name="ProductionFlexibilityPayments" localSheetId="10">#REF!</definedName>
    <definedName name="ProductionFlexibilityPayments">#REF!</definedName>
    <definedName name="SAP" localSheetId="2">#REF!</definedName>
    <definedName name="SAP" localSheetId="4">#REF!</definedName>
    <definedName name="SAP" localSheetId="8">#REF!</definedName>
    <definedName name="SAP" localSheetId="9">#REF!</definedName>
    <definedName name="SAP" localSheetId="10">#REF!</definedName>
    <definedName name="SAP">#REF!</definedName>
    <definedName name="SupportPrice" localSheetId="2">#REF!</definedName>
    <definedName name="SupportPrice" localSheetId="4">#REF!</definedName>
    <definedName name="SupportPrice" localSheetId="8">#REF!</definedName>
    <definedName name="SupportPrice" localSheetId="9">#REF!</definedName>
    <definedName name="SupportPrice" localSheetId="10">#REF!</definedName>
    <definedName name="SupportPrice">#REF!</definedName>
    <definedName name="Table5" localSheetId="10">#REF!</definedName>
    <definedName name="Table5">#REF!</definedName>
    <definedName name="TargetPrice" localSheetId="2">#REF!</definedName>
    <definedName name="TargetPrice" localSheetId="4">#REF!</definedName>
    <definedName name="TargetPrice" localSheetId="8">#REF!</definedName>
    <definedName name="TargetPrice" localSheetId="9">#REF!</definedName>
    <definedName name="TargetPrice" localSheetId="10">#REF!</definedName>
    <definedName name="TargetPrice">#REF!</definedName>
    <definedName name="WO_BeginningStocks" localSheetId="2">#REF!</definedName>
    <definedName name="WO_BeginningStocks" localSheetId="4">#REF!</definedName>
    <definedName name="WO_BeginningStocks" localSheetId="8">#REF!</definedName>
    <definedName name="WO_BeginningStocks" localSheetId="9">#REF!</definedName>
    <definedName name="WO_BeginningStocks" localSheetId="10">#REF!</definedName>
    <definedName name="WO_BeginningStocks">#REF!</definedName>
    <definedName name="WO_DiffUnAccted" localSheetId="2">#REF!</definedName>
    <definedName name="WO_DiffUnAccted" localSheetId="4">#REF!</definedName>
    <definedName name="WO_DiffUnAccted" localSheetId="8">#REF!</definedName>
    <definedName name="WO_DiffUnAccted" localSheetId="9">#REF!</definedName>
    <definedName name="WO_DiffUnAccted" localSheetId="10">#REF!</definedName>
    <definedName name="WO_DiffUnAccted">#REF!</definedName>
    <definedName name="WO_DomesticUse" localSheetId="2">#REF!</definedName>
    <definedName name="WO_DomesticUse" localSheetId="4">#REF!</definedName>
    <definedName name="WO_DomesticUse" localSheetId="8">#REF!</definedName>
    <definedName name="WO_DomesticUse" localSheetId="9">#REF!</definedName>
    <definedName name="WO_DomesticUse" localSheetId="10">#REF!</definedName>
    <definedName name="WO_DomesticUse">#REF!</definedName>
    <definedName name="WO_Exports" localSheetId="2">#REF!</definedName>
    <definedName name="WO_Exports" localSheetId="4">#REF!</definedName>
    <definedName name="WO_Exports" localSheetId="8">#REF!</definedName>
    <definedName name="WO_Exports" localSheetId="9">#REF!</definedName>
    <definedName name="WO_Exports" localSheetId="10">#REF!</definedName>
    <definedName name="WO_Exports">#REF!</definedName>
    <definedName name="WO_FreeStocks" localSheetId="2">#REF!</definedName>
    <definedName name="WO_FreeStocks" localSheetId="4">#REF!</definedName>
    <definedName name="WO_FreeStocks" localSheetId="8">#REF!</definedName>
    <definedName name="WO_FreeStocks" localSheetId="9">#REF!</definedName>
    <definedName name="WO_FreeStocks" localSheetId="10">#REF!</definedName>
    <definedName name="WO_FreeStocks">#REF!</definedName>
    <definedName name="WO_Imports" localSheetId="2">#REF!</definedName>
    <definedName name="WO_Imports" localSheetId="4">#REF!</definedName>
    <definedName name="WO_Imports" localSheetId="8">#REF!</definedName>
    <definedName name="WO_Imports" localSheetId="9">#REF!</definedName>
    <definedName name="WO_Imports" localSheetId="10">#REF!</definedName>
    <definedName name="WO_Imports">#REF!</definedName>
    <definedName name="WO_LDPs" localSheetId="2">#REF!</definedName>
    <definedName name="WO_LDPs" localSheetId="4">#REF!</definedName>
    <definedName name="WO_LDPs" localSheetId="8">#REF!</definedName>
    <definedName name="WO_LDPs" localSheetId="9">#REF!</definedName>
    <definedName name="WO_LDPs" localSheetId="10">#REF!</definedName>
    <definedName name="WO_LDPs">#REF!</definedName>
    <definedName name="WO_LDPsPelts" localSheetId="2">#REF!</definedName>
    <definedName name="WO_LDPsPelts" localSheetId="4">#REF!</definedName>
    <definedName name="WO_LDPsPelts" localSheetId="8">#REF!</definedName>
    <definedName name="WO_LDPsPelts" localSheetId="9">#REF!</definedName>
    <definedName name="WO_LDPsPelts" localSheetId="10">#REF!</definedName>
    <definedName name="WO_LDPsPelts">#REF!</definedName>
    <definedName name="WO_LoanDeficiencyPayments" localSheetId="2">#REF!</definedName>
    <definedName name="WO_LoanDeficiencyPayments" localSheetId="4">#REF!</definedName>
    <definedName name="WO_LoanDeficiencyPayments" localSheetId="8">#REF!</definedName>
    <definedName name="WO_LoanDeficiencyPayments" localSheetId="9">#REF!</definedName>
    <definedName name="WO_LoanDeficiencyPayments" localSheetId="10">#REF!</definedName>
    <definedName name="WO_LoanDeficiencyPayments">#REF!</definedName>
    <definedName name="WO_LoansMadeByCwt" localSheetId="2">#REF!</definedName>
    <definedName name="WO_LoansMadeByCwt" localSheetId="4">#REF!</definedName>
    <definedName name="WO_LoansMadeByCwt" localSheetId="8">#REF!</definedName>
    <definedName name="WO_LoansMadeByCwt" localSheetId="9">#REF!</definedName>
    <definedName name="WO_LoansMadeByCwt" localSheetId="10">#REF!</definedName>
    <definedName name="WO_LoansMadeByCwt">#REF!</definedName>
    <definedName name="WO_LoansMadeByDoll" localSheetId="2">#REF!</definedName>
    <definedName name="WO_LoansMadeByDoll" localSheetId="4">#REF!</definedName>
    <definedName name="WO_LoansMadeByDoll" localSheetId="8">#REF!</definedName>
    <definedName name="WO_LoansMadeByDoll" localSheetId="9">#REF!</definedName>
    <definedName name="WO_LoansMadeByDoll" localSheetId="10">#REF!</definedName>
    <definedName name="WO_LoansMadeByDoll">#REF!</definedName>
    <definedName name="WO_LoansRepaidByCwt" localSheetId="2">#REF!</definedName>
    <definedName name="WO_LoansRepaidByCwt" localSheetId="4">#REF!</definedName>
    <definedName name="WO_LoansRepaidByCwt" localSheetId="8">#REF!</definedName>
    <definedName name="WO_LoansRepaidByCwt" localSheetId="9">#REF!</definedName>
    <definedName name="WO_LoansRepaidByCwt" localSheetId="10">#REF!</definedName>
    <definedName name="WO_LoansRepaidByCwt">#REF!</definedName>
    <definedName name="WO_LoansRepaidByDoll" localSheetId="2">#REF!</definedName>
    <definedName name="WO_LoansRepaidByDoll" localSheetId="4">#REF!</definedName>
    <definedName name="WO_LoansRepaidByDoll" localSheetId="8">#REF!</definedName>
    <definedName name="WO_LoansRepaidByDoll" localSheetId="9">#REF!</definedName>
    <definedName name="WO_LoansRepaidByDoll" localSheetId="10">#REF!</definedName>
    <definedName name="WO_LoansRepaidByDoll">#REF!</definedName>
    <definedName name="WO_MarketingLoanWriteOffs" localSheetId="2">#REF!</definedName>
    <definedName name="WO_MarketingLoanWriteOffs" localSheetId="4">#REF!</definedName>
    <definedName name="WO_MarketingLoanWriteOffs" localSheetId="8">#REF!</definedName>
    <definedName name="WO_MarketingLoanWriteOffs" localSheetId="9">#REF!</definedName>
    <definedName name="WO_MarketingLoanWriteOffs" localSheetId="10">#REF!</definedName>
    <definedName name="WO_MarketingLoanWriteOffs">#REF!</definedName>
    <definedName name="WO_Marketings" localSheetId="2">#REF!</definedName>
    <definedName name="WO_Marketings" localSheetId="4">#REF!</definedName>
    <definedName name="WO_Marketings" localSheetId="8">#REF!</definedName>
    <definedName name="WO_Marketings" localSheetId="9">#REF!</definedName>
    <definedName name="WO_Marketings" localSheetId="10">#REF!</definedName>
    <definedName name="WO_Marketings">#REF!</definedName>
    <definedName name="WO_MarketReturns" localSheetId="2">#REF!</definedName>
    <definedName name="WO_MarketReturns" localSheetId="4">#REF!</definedName>
    <definedName name="WO_MarketReturns" localSheetId="8">#REF!</definedName>
    <definedName name="WO_MarketReturns" localSheetId="9">#REF!</definedName>
    <definedName name="WO_MarketReturns" localSheetId="10">#REF!</definedName>
    <definedName name="WO_MarketReturns">#REF!</definedName>
    <definedName name="WO_production" localSheetId="2">#REF!</definedName>
    <definedName name="WO_production" localSheetId="4">#REF!</definedName>
    <definedName name="WO_production" localSheetId="8">#REF!</definedName>
    <definedName name="WO_production" localSheetId="9">#REF!</definedName>
    <definedName name="WO_production" localSheetId="10">#REF!</definedName>
    <definedName name="WO_production">#REF!</definedName>
    <definedName name="WO_SheepShorn" localSheetId="2">#REF!</definedName>
    <definedName name="WO_SheepShorn" localSheetId="4">#REF!</definedName>
    <definedName name="WO_SheepShorn" localSheetId="8">#REF!</definedName>
    <definedName name="WO_SheepShorn" localSheetId="9">#REF!</definedName>
    <definedName name="WO_SheepShorn" localSheetId="10">#REF!</definedName>
    <definedName name="WO_SheepShorn">#REF!</definedName>
    <definedName name="WO_ShornWool" localSheetId="2">#REF!</definedName>
    <definedName name="WO_ShornWool" localSheetId="4">#REF!</definedName>
    <definedName name="WO_ShornWool" localSheetId="8">#REF!</definedName>
    <definedName name="WO_ShornWool" localSheetId="9">#REF!</definedName>
    <definedName name="WO_ShornWool" localSheetId="10">#REF!</definedName>
    <definedName name="WO_ShornWool">#REF!</definedName>
    <definedName name="WO_StockSheep" localSheetId="2">#REF!</definedName>
    <definedName name="WO_StockSheep" localSheetId="4">#REF!</definedName>
    <definedName name="WO_StockSheep" localSheetId="8">#REF!</definedName>
    <definedName name="WO_StockSheep" localSheetId="9">#REF!</definedName>
    <definedName name="WO_StockSheep" localSheetId="10">#REF!</definedName>
    <definedName name="WO_StockSheep">#REF!</definedName>
    <definedName name="WO_Yield" localSheetId="2">#REF!</definedName>
    <definedName name="WO_Yield" localSheetId="4">#REF!</definedName>
    <definedName name="WO_Yield" localSheetId="8">#REF!</definedName>
    <definedName name="WO_Yield" localSheetId="9">#REF!</definedName>
    <definedName name="WO_Yield" localSheetId="10">#REF!</definedName>
    <definedName name="WO_Yield">#REF!</definedName>
    <definedName name="x" localSheetId="2">#REF!</definedName>
    <definedName name="x" localSheetId="4">#REF!</definedName>
    <definedName name="x" localSheetId="9">#REF!</definedName>
    <definedName name="x" localSheetId="10">#REF!</definedName>
    <definedName name="x">#REF!</definedName>
    <definedName name="XLSIMSIM" localSheetId="0" hidden="1">{"Sim",1,"Output 1","MProd!$U$230","1","4","10,000","298503897"}</definedName>
    <definedName name="XLSIMSIM" localSheetId="11" hidden="1">{"Sim",1,"Output 1","MProd!$U$230","1","4","10,000","298503897"}</definedName>
    <definedName name="XLSIMSIM" localSheetId="2" hidden="1">{"Sim",1,"Output 1","MProd!$U$230","1","4","10,000","298503897"}</definedName>
    <definedName name="XLSIMSIM" localSheetId="4" hidden="1">{"Sim",1,"Output 1","MProd!$U$230","1","4","10,000","298503897"}</definedName>
    <definedName name="XLSIMSIM" localSheetId="8" hidden="1">{"Sim",1,"Output 1","MProd!$U$230","1","4","10,000","298503897"}</definedName>
    <definedName name="XLSIMSIM" localSheetId="9" hidden="1">{"Sim",1,"Output 1","MProd!$U$230","1","4","10,000","298503897"}</definedName>
    <definedName name="XLSIMSIM" localSheetId="10" hidden="1">{"Sim",1,"Output 1","MProd!$U$230","1","4","10,000","298503897"}</definedName>
    <definedName name="XLSIMSIM" localSheetId="7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2">#REF!</definedName>
    <definedName name="Yield" localSheetId="4">#REF!</definedName>
    <definedName name="Yield" localSheetId="8">#REF!</definedName>
    <definedName name="Yield" localSheetId="9">#REF!</definedName>
    <definedName name="Yield" localSheetId="10">#REF!</definedName>
    <definedName name="Yiel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44" l="1"/>
  <c r="K8" i="116"/>
  <c r="J8" i="116"/>
  <c r="I21" i="231" l="1"/>
  <c r="J21" i="231"/>
  <c r="D52" i="230" l="1"/>
  <c r="N27" i="54" l="1"/>
  <c r="J14" i="8" l="1"/>
  <c r="H19" i="45" l="1"/>
  <c r="K7" i="45"/>
  <c r="K10" i="45" s="1"/>
  <c r="L11" i="7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5" i="1"/>
  <c r="N46" i="1" l="1"/>
  <c r="L8" i="74" s="1"/>
  <c r="L19" i="74" s="1"/>
  <c r="F17" i="236" l="1"/>
  <c r="F18" i="236"/>
  <c r="F19" i="236"/>
  <c r="F20" i="236"/>
  <c r="F21" i="236"/>
  <c r="F22" i="236"/>
  <c r="F23" i="236"/>
  <c r="F24" i="236"/>
  <c r="F25" i="236"/>
  <c r="F26" i="236"/>
  <c r="F27" i="236"/>
  <c r="F28" i="236"/>
  <c r="F29" i="236"/>
  <c r="F30" i="236"/>
  <c r="F31" i="236"/>
  <c r="F32" i="236"/>
  <c r="F33" i="236"/>
  <c r="F34" i="236"/>
  <c r="F35" i="236"/>
  <c r="F36" i="236"/>
  <c r="F37" i="236"/>
  <c r="F38" i="236"/>
  <c r="F39" i="236"/>
  <c r="F40" i="236"/>
  <c r="F41" i="236"/>
  <c r="F42" i="236"/>
  <c r="F43" i="236"/>
  <c r="F5" i="236"/>
  <c r="F6" i="236"/>
  <c r="F7" i="236"/>
  <c r="F8" i="236"/>
  <c r="F9" i="236"/>
  <c r="F10" i="236"/>
  <c r="F11" i="236"/>
  <c r="F12" i="236"/>
  <c r="F13" i="236"/>
  <c r="F14" i="236"/>
  <c r="F15" i="236"/>
  <c r="F16" i="236"/>
  <c r="F4" i="236"/>
  <c r="K33" i="244"/>
  <c r="L13" i="74" s="1"/>
  <c r="L24" i="74" s="1"/>
  <c r="I32" i="244"/>
  <c r="C48" i="240"/>
  <c r="C50" i="240"/>
  <c r="D50" i="240"/>
  <c r="D48" i="240"/>
  <c r="C46" i="240"/>
  <c r="D46" i="240"/>
  <c r="C9" i="240"/>
  <c r="K28" i="116"/>
  <c r="K25" i="116"/>
  <c r="K21" i="116"/>
  <c r="K26" i="116" s="1"/>
  <c r="L22" i="74"/>
  <c r="N28" i="54"/>
  <c r="N26" i="54" s="1"/>
  <c r="N22" i="54"/>
  <c r="N24" i="54"/>
  <c r="N23" i="54"/>
  <c r="N20" i="54"/>
  <c r="N19" i="54"/>
  <c r="N18" i="54"/>
  <c r="N8" i="54"/>
  <c r="N9" i="54"/>
  <c r="N10" i="54"/>
  <c r="N11" i="54"/>
  <c r="N12" i="54"/>
  <c r="N13" i="54"/>
  <c r="N15" i="54"/>
  <c r="N7" i="54"/>
  <c r="K8" i="8"/>
  <c r="K11" i="8"/>
  <c r="K12" i="8"/>
  <c r="K7" i="8"/>
  <c r="K22" i="231"/>
  <c r="L12" i="74" s="1"/>
  <c r="N17" i="54" l="1"/>
  <c r="K14" i="8"/>
  <c r="L9" i="74" s="1"/>
  <c r="L20" i="74" s="1"/>
  <c r="N6" i="54"/>
  <c r="N30" i="54" s="1"/>
  <c r="L10" i="74" s="1"/>
  <c r="L21" i="74" s="1"/>
  <c r="L23" i="74"/>
  <c r="H8" i="240"/>
  <c r="G7" i="240"/>
  <c r="G8" i="240"/>
  <c r="F8" i="240"/>
  <c r="E8" i="240"/>
  <c r="D9" i="240"/>
  <c r="F9" i="230"/>
  <c r="E9" i="230"/>
  <c r="G7" i="230"/>
  <c r="F7" i="230"/>
  <c r="D8" i="230"/>
  <c r="G8" i="230" s="1"/>
  <c r="C8" i="230"/>
  <c r="F8" i="230" s="1"/>
  <c r="L25" i="74" l="1"/>
  <c r="L14" i="74"/>
  <c r="C11" i="230"/>
  <c r="G9" i="230"/>
  <c r="H9" i="230" s="1"/>
  <c r="H8" i="230"/>
  <c r="E8" i="230"/>
  <c r="H7" i="230" l="1"/>
  <c r="E7" i="230"/>
  <c r="D32" i="244" l="1"/>
  <c r="E32" i="244"/>
  <c r="F32" i="244"/>
  <c r="G32" i="244"/>
  <c r="H32" i="244"/>
  <c r="J10" i="45"/>
  <c r="F39" i="240" l="1"/>
  <c r="F40" i="240"/>
  <c r="J33" i="244" l="1"/>
  <c r="K13" i="74" s="1"/>
  <c r="K24" i="74" s="1"/>
  <c r="K11" i="74"/>
  <c r="K22" i="74" s="1"/>
  <c r="J21" i="116"/>
  <c r="J26" i="116" s="1"/>
  <c r="J28" i="116"/>
  <c r="J25" i="116"/>
  <c r="M17" i="54"/>
  <c r="M22" i="54"/>
  <c r="M26" i="54"/>
  <c r="K9" i="74"/>
  <c r="K20" i="74" s="1"/>
  <c r="J22" i="231"/>
  <c r="K12" i="74" s="1"/>
  <c r="K23" i="74" s="1"/>
  <c r="H21" i="231"/>
  <c r="I8" i="116"/>
  <c r="M6" i="54" l="1"/>
  <c r="M30" i="54" s="1"/>
  <c r="K10" i="74" s="1"/>
  <c r="K21" i="74" s="1"/>
  <c r="M46" i="1"/>
  <c r="K8" i="74" s="1"/>
  <c r="K19" i="74" s="1"/>
  <c r="K25" i="74" l="1"/>
  <c r="K14" i="74"/>
  <c r="H50" i="240"/>
  <c r="H48" i="240"/>
  <c r="H46" i="240"/>
  <c r="G19" i="240"/>
  <c r="H19" i="240" s="1"/>
  <c r="G17" i="240"/>
  <c r="H17" i="240" s="1"/>
  <c r="F36" i="240"/>
  <c r="F35" i="240"/>
  <c r="F32" i="240"/>
  <c r="F31" i="240"/>
  <c r="F28" i="240"/>
  <c r="F27" i="240"/>
  <c r="F24" i="240"/>
  <c r="F23" i="240"/>
  <c r="F19" i="240"/>
  <c r="F17" i="240"/>
  <c r="F7" i="240"/>
  <c r="F6" i="240"/>
  <c r="G6" i="240"/>
  <c r="E19" i="240"/>
  <c r="E17" i="240"/>
  <c r="E7" i="240"/>
  <c r="E6" i="240"/>
  <c r="C42" i="240"/>
  <c r="F9" i="240"/>
  <c r="I10" i="45"/>
  <c r="F42" i="240" l="1"/>
  <c r="C44" i="240"/>
  <c r="H6" i="240"/>
  <c r="H7" i="240"/>
  <c r="J11" i="74"/>
  <c r="J22" i="74" s="1"/>
  <c r="I28" i="116"/>
  <c r="I25" i="116"/>
  <c r="I21" i="116"/>
  <c r="I26" i="116" s="1"/>
  <c r="L17" i="54"/>
  <c r="L22" i="54"/>
  <c r="I33" i="244"/>
  <c r="J13" i="74" s="1"/>
  <c r="J24" i="74" s="1"/>
  <c r="I14" i="8" l="1"/>
  <c r="J9" i="74" s="1"/>
  <c r="J20" i="74" s="1"/>
  <c r="L46" i="1"/>
  <c r="J8" i="74" s="1"/>
  <c r="J19" i="74" s="1"/>
  <c r="L26" i="54"/>
  <c r="I22" i="231"/>
  <c r="J12" i="74" s="1"/>
  <c r="J23" i="74" s="1"/>
  <c r="G21" i="231"/>
  <c r="N12" i="231"/>
  <c r="H8" i="116" l="1"/>
  <c r="G8" i="116"/>
  <c r="B42" i="240" l="1"/>
  <c r="B32" i="244" l="1"/>
  <c r="N21" i="244"/>
  <c r="N22" i="244"/>
  <c r="N23" i="244"/>
  <c r="N24" i="244"/>
  <c r="N25" i="244"/>
  <c r="N26" i="244"/>
  <c r="N27" i="244"/>
  <c r="N28" i="244"/>
  <c r="N29" i="244"/>
  <c r="N30" i="244"/>
  <c r="N16" i="244" l="1"/>
  <c r="C32" i="244"/>
  <c r="H33" i="244" l="1"/>
  <c r="I13" i="74" s="1"/>
  <c r="I24" i="74" s="1"/>
  <c r="G33" i="244"/>
  <c r="H13" i="74" s="1"/>
  <c r="E33" i="244"/>
  <c r="F13" i="74" s="1"/>
  <c r="D33" i="244"/>
  <c r="E13" i="74" s="1"/>
  <c r="C33" i="244"/>
  <c r="D13" i="74" s="1"/>
  <c r="N20" i="244"/>
  <c r="N15" i="244"/>
  <c r="N14" i="244"/>
  <c r="N13" i="244"/>
  <c r="N12" i="244"/>
  <c r="N11" i="244"/>
  <c r="N10" i="244"/>
  <c r="N9" i="244"/>
  <c r="N8" i="244"/>
  <c r="N7" i="244"/>
  <c r="N6" i="244"/>
  <c r="F33" i="244" l="1"/>
  <c r="G13" i="74" s="1"/>
  <c r="N32" i="244"/>
  <c r="B33" i="244"/>
  <c r="C13" i="74" s="1"/>
  <c r="H10" i="45"/>
  <c r="N33" i="244" l="1"/>
  <c r="D10" i="230"/>
  <c r="D11" i="230" s="1"/>
  <c r="I11" i="74"/>
  <c r="I22" i="74" s="1"/>
  <c r="H28" i="116"/>
  <c r="H25" i="116"/>
  <c r="H21" i="116"/>
  <c r="H26" i="116" s="1"/>
  <c r="K17" i="54"/>
  <c r="K22" i="54"/>
  <c r="K26" i="54"/>
  <c r="L6" i="54"/>
  <c r="L30" i="54" s="1"/>
  <c r="J10" i="74" s="1"/>
  <c r="J21" i="74" s="1"/>
  <c r="H22" i="231"/>
  <c r="I12" i="74" s="1"/>
  <c r="I23" i="74" s="1"/>
  <c r="G31" i="240" l="1"/>
  <c r="H31" i="240" s="1"/>
  <c r="E31" i="240"/>
  <c r="G39" i="240"/>
  <c r="H39" i="240" s="1"/>
  <c r="E39" i="240"/>
  <c r="G32" i="240"/>
  <c r="H32" i="240" s="1"/>
  <c r="E32" i="240"/>
  <c r="G35" i="240"/>
  <c r="H35" i="240" s="1"/>
  <c r="E35" i="240"/>
  <c r="E27" i="240"/>
  <c r="G27" i="240"/>
  <c r="H27" i="240" s="1"/>
  <c r="J25" i="74"/>
  <c r="J14" i="74"/>
  <c r="H14" i="8"/>
  <c r="I9" i="74" s="1"/>
  <c r="I20" i="74" s="1"/>
  <c r="K6" i="54"/>
  <c r="K30" i="54" s="1"/>
  <c r="I10" i="74" s="1"/>
  <c r="I21" i="74" s="1"/>
  <c r="K46" i="1"/>
  <c r="I8" i="74" s="1"/>
  <c r="F21" i="231"/>
  <c r="I19" i="74" l="1"/>
  <c r="I25" i="74" s="1"/>
  <c r="I14" i="74"/>
  <c r="N15" i="231"/>
  <c r="N9" i="231"/>
  <c r="F8" i="116" l="1"/>
  <c r="G10" i="45"/>
  <c r="G36" i="240" l="1"/>
  <c r="H36" i="240" s="1"/>
  <c r="E36" i="240"/>
  <c r="E28" i="240"/>
  <c r="G28" i="240"/>
  <c r="H28" i="240" s="1"/>
  <c r="E21" i="231" l="1"/>
  <c r="G28" i="116"/>
  <c r="G25" i="116"/>
  <c r="G21" i="116"/>
  <c r="G26" i="116" s="1"/>
  <c r="H11" i="74"/>
  <c r="H22" i="74" s="1"/>
  <c r="G22" i="231"/>
  <c r="H12" i="74" s="1"/>
  <c r="H23" i="74" s="1"/>
  <c r="H24" i="74"/>
  <c r="E50" i="240"/>
  <c r="E48" i="240"/>
  <c r="B9" i="240"/>
  <c r="B44" i="240" s="1"/>
  <c r="E9" i="240" l="1"/>
  <c r="G9" i="240"/>
  <c r="E40" i="240"/>
  <c r="G40" i="240"/>
  <c r="H40" i="240" s="1"/>
  <c r="E24" i="240"/>
  <c r="G24" i="240"/>
  <c r="H24" i="240" s="1"/>
  <c r="J26" i="54"/>
  <c r="J22" i="54"/>
  <c r="J17" i="54"/>
  <c r="G14" i="8"/>
  <c r="H9" i="240" l="1"/>
  <c r="J46" i="1"/>
  <c r="H8" i="74" s="1"/>
  <c r="H19" i="74" s="1"/>
  <c r="H9" i="74"/>
  <c r="H20" i="74" s="1"/>
  <c r="J6" i="54"/>
  <c r="J30" i="54" s="1"/>
  <c r="H10" i="74" l="1"/>
  <c r="H21" i="74" l="1"/>
  <c r="H25" i="74" s="1"/>
  <c r="H14" i="74"/>
  <c r="D44" i="236" l="1"/>
  <c r="C44" i="236"/>
  <c r="B44" i="236"/>
  <c r="F44" i="236" l="1"/>
  <c r="R13" i="1"/>
  <c r="R5" i="1"/>
  <c r="R21" i="1"/>
  <c r="R28" i="1"/>
  <c r="R12" i="1"/>
  <c r="R29" i="1"/>
  <c r="R44" i="1"/>
  <c r="R36" i="1"/>
  <c r="R20" i="1"/>
  <c r="R43" i="1"/>
  <c r="R35" i="1"/>
  <c r="R27" i="1"/>
  <c r="R19" i="1"/>
  <c r="R11" i="1"/>
  <c r="R37" i="1"/>
  <c r="R42" i="1"/>
  <c r="R34" i="1"/>
  <c r="R26" i="1"/>
  <c r="R18" i="1"/>
  <c r="R10" i="1"/>
  <c r="R41" i="1"/>
  <c r="R17" i="1"/>
  <c r="R16" i="1"/>
  <c r="R39" i="1"/>
  <c r="R31" i="1"/>
  <c r="R23" i="1"/>
  <c r="R15" i="1"/>
  <c r="R7" i="1"/>
  <c r="R33" i="1"/>
  <c r="R25" i="1"/>
  <c r="R9" i="1"/>
  <c r="R40" i="1"/>
  <c r="R32" i="1"/>
  <c r="R24" i="1"/>
  <c r="R8" i="1"/>
  <c r="R38" i="1"/>
  <c r="R30" i="1"/>
  <c r="R22" i="1"/>
  <c r="R14" i="1"/>
  <c r="R6" i="1"/>
  <c r="F25" i="116"/>
  <c r="F21" i="116"/>
  <c r="F26" i="116" s="1"/>
  <c r="F10" i="45"/>
  <c r="G24" i="74"/>
  <c r="G11" i="74"/>
  <c r="G22" i="74" s="1"/>
  <c r="F28" i="116"/>
  <c r="I22" i="54"/>
  <c r="F22" i="231"/>
  <c r="G12" i="74" s="1"/>
  <c r="G23" i="74" s="1"/>
  <c r="D21" i="23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5" i="1"/>
  <c r="F14" i="8" l="1"/>
  <c r="G9" i="74" s="1"/>
  <c r="G20" i="74" s="1"/>
  <c r="I26" i="54"/>
  <c r="I17" i="54"/>
  <c r="I46" i="1"/>
  <c r="G8" i="74" s="1"/>
  <c r="G19" i="74" s="1"/>
  <c r="I6" i="54"/>
  <c r="I30" i="54" l="1"/>
  <c r="G10" i="74" s="1"/>
  <c r="G21" i="74" l="1"/>
  <c r="G25" i="74" s="1"/>
  <c r="G14" i="74"/>
  <c r="P19" i="45"/>
  <c r="E8" i="116"/>
  <c r="C8" i="116"/>
  <c r="D8" i="116"/>
  <c r="B8" i="116"/>
  <c r="H17" i="54"/>
  <c r="H22" i="54"/>
  <c r="H26" i="54"/>
  <c r="Q6" i="54"/>
  <c r="Q26" i="54"/>
  <c r="Q22" i="54"/>
  <c r="Q17" i="54"/>
  <c r="R17" i="54"/>
  <c r="F11" i="74"/>
  <c r="F22" i="74" s="1"/>
  <c r="E28" i="116"/>
  <c r="E25" i="116"/>
  <c r="D21" i="116"/>
  <c r="E21" i="116"/>
  <c r="E26" i="116" s="1"/>
  <c r="F24" i="74"/>
  <c r="E22" i="231"/>
  <c r="F12" i="74" s="1"/>
  <c r="F23" i="74" s="1"/>
  <c r="C21" i="231"/>
  <c r="Q30" i="54" l="1"/>
  <c r="E10" i="45"/>
  <c r="H6" i="54"/>
  <c r="H30" i="54" s="1"/>
  <c r="F10" i="74" s="1"/>
  <c r="F21" i="74" s="1"/>
  <c r="H46" i="1"/>
  <c r="F8" i="74" s="1"/>
  <c r="F19" i="74" s="1"/>
  <c r="E14" i="8"/>
  <c r="F9" i="74" s="1"/>
  <c r="F20" i="74" s="1"/>
  <c r="F25" i="74" l="1"/>
  <c r="F14" i="74"/>
  <c r="D46" i="1" l="1"/>
  <c r="E24" i="74"/>
  <c r="D22" i="231"/>
  <c r="E12" i="74" s="1"/>
  <c r="E23" i="74" s="1"/>
  <c r="B21" i="231"/>
  <c r="E11" i="74"/>
  <c r="E22" i="74" s="1"/>
  <c r="D28" i="116"/>
  <c r="D26" i="116"/>
  <c r="D25" i="116"/>
  <c r="E28" i="54"/>
  <c r="E27" i="54"/>
  <c r="E20" i="54"/>
  <c r="E19" i="54"/>
  <c r="E18" i="54"/>
  <c r="E8" i="54"/>
  <c r="E9" i="54"/>
  <c r="E10" i="54"/>
  <c r="E11" i="54"/>
  <c r="E12" i="54"/>
  <c r="E13" i="54"/>
  <c r="E15" i="54"/>
  <c r="E7" i="54"/>
  <c r="D14" i="8"/>
  <c r="E9" i="74" s="1"/>
  <c r="E20" i="74" s="1"/>
  <c r="D10" i="45" l="1"/>
  <c r="E17" i="54"/>
  <c r="E26" i="54"/>
  <c r="E6" i="54"/>
  <c r="G46" i="1"/>
  <c r="E30" i="54" l="1"/>
  <c r="E10" i="74" s="1"/>
  <c r="E21" i="74" s="1"/>
  <c r="E8" i="74"/>
  <c r="E19" i="74" s="1"/>
  <c r="N6" i="231"/>
  <c r="N7" i="231"/>
  <c r="N8" i="231"/>
  <c r="N10" i="231"/>
  <c r="N11" i="231"/>
  <c r="N13" i="231"/>
  <c r="N14" i="231"/>
  <c r="N16" i="231"/>
  <c r="N17" i="231"/>
  <c r="N18" i="231"/>
  <c r="N19" i="231"/>
  <c r="N5" i="231"/>
  <c r="R46" i="1"/>
  <c r="Q46" i="1"/>
  <c r="E46" i="1"/>
  <c r="C46" i="1"/>
  <c r="B4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C21" i="116"/>
  <c r="C26" i="116" s="1"/>
  <c r="S46" i="1" l="1"/>
  <c r="E14" i="74"/>
  <c r="E25" i="74"/>
  <c r="C8" i="74"/>
  <c r="U46" i="1"/>
  <c r="F46" i="1"/>
  <c r="D24" i="74" l="1"/>
  <c r="B21" i="116"/>
  <c r="D11" i="74"/>
  <c r="D22" i="74" s="1"/>
  <c r="C28" i="116"/>
  <c r="C25" i="116"/>
  <c r="D17" i="54"/>
  <c r="C6" i="54"/>
  <c r="C17" i="54"/>
  <c r="C23" i="54"/>
  <c r="E23" i="54" s="1"/>
  <c r="C24" i="54"/>
  <c r="E24" i="54" s="1"/>
  <c r="C26" i="54"/>
  <c r="C22" i="231"/>
  <c r="D12" i="74" s="1"/>
  <c r="B22" i="231"/>
  <c r="N21" i="231"/>
  <c r="R26" i="54"/>
  <c r="R22" i="54"/>
  <c r="R6" i="54"/>
  <c r="R30" i="54" l="1"/>
  <c r="N22" i="231"/>
  <c r="D8" i="74"/>
  <c r="D19" i="74" s="1"/>
  <c r="D26" i="54"/>
  <c r="D6" i="54"/>
  <c r="C10" i="45"/>
  <c r="C14" i="8"/>
  <c r="D9" i="74" s="1"/>
  <c r="D20" i="74" s="1"/>
  <c r="D23" i="74"/>
  <c r="C12" i="74"/>
  <c r="D30" i="54" l="1"/>
  <c r="D10" i="74" s="1"/>
  <c r="D21" i="74" s="1"/>
  <c r="D25" i="74" s="1"/>
  <c r="D14" i="74" l="1"/>
  <c r="F48" i="116"/>
  <c r="E48" i="116"/>
  <c r="D48" i="116"/>
  <c r="C48" i="116"/>
  <c r="B48" i="116"/>
  <c r="C11" i="74"/>
  <c r="B26" i="116"/>
  <c r="B25" i="116"/>
  <c r="B28" i="116" l="1"/>
  <c r="C30" i="54"/>
  <c r="C10" i="74" s="1"/>
  <c r="B6" i="54" l="1"/>
  <c r="B17" i="54"/>
  <c r="B26" i="54"/>
  <c r="F16" i="230" l="1"/>
  <c r="F15" i="230"/>
  <c r="F14" i="230"/>
  <c r="E16" i="230"/>
  <c r="E15" i="230"/>
  <c r="E14" i="230"/>
  <c r="C21" i="230"/>
  <c r="O11" i="74" l="1"/>
  <c r="O10" i="74"/>
  <c r="H52" i="230" l="1"/>
  <c r="C52" i="230"/>
  <c r="H50" i="230"/>
  <c r="D50" i="230"/>
  <c r="C50" i="230"/>
  <c r="H48" i="230"/>
  <c r="D48" i="230"/>
  <c r="C48" i="230"/>
  <c r="C44" i="230"/>
  <c r="B44" i="230"/>
  <c r="F42" i="230"/>
  <c r="G42" i="230"/>
  <c r="F41" i="230"/>
  <c r="E41" i="230"/>
  <c r="G41" i="230"/>
  <c r="G38" i="230"/>
  <c r="F38" i="230"/>
  <c r="E38" i="230"/>
  <c r="G37" i="230"/>
  <c r="F37" i="230"/>
  <c r="E37" i="230"/>
  <c r="F34" i="230"/>
  <c r="G34" i="230"/>
  <c r="F33" i="230"/>
  <c r="E33" i="230"/>
  <c r="G33" i="230"/>
  <c r="G30" i="230"/>
  <c r="F30" i="230"/>
  <c r="E30" i="230"/>
  <c r="G29" i="230"/>
  <c r="F29" i="230"/>
  <c r="E29" i="230"/>
  <c r="F26" i="230"/>
  <c r="G25" i="230"/>
  <c r="F25" i="230"/>
  <c r="F21" i="230"/>
  <c r="D21" i="230"/>
  <c r="B21" i="230"/>
  <c r="G20" i="230"/>
  <c r="F20" i="230"/>
  <c r="E20" i="230"/>
  <c r="G19" i="230"/>
  <c r="F19" i="230"/>
  <c r="E19" i="230"/>
  <c r="G16" i="230"/>
  <c r="H16" i="230" s="1"/>
  <c r="G15" i="230"/>
  <c r="H15" i="230" s="1"/>
  <c r="G14" i="230"/>
  <c r="H14" i="230" s="1"/>
  <c r="P8" i="74"/>
  <c r="B11" i="230"/>
  <c r="G10" i="230"/>
  <c r="F10" i="230"/>
  <c r="E10" i="230"/>
  <c r="G6" i="230"/>
  <c r="F6" i="230"/>
  <c r="E6" i="230"/>
  <c r="H6" i="230" l="1"/>
  <c r="H20" i="230"/>
  <c r="H33" i="230"/>
  <c r="H10" i="230"/>
  <c r="B46" i="230"/>
  <c r="H19" i="230"/>
  <c r="C46" i="230"/>
  <c r="C54" i="230" s="1"/>
  <c r="G21" i="230"/>
  <c r="H21" i="230" s="1"/>
  <c r="P9" i="74"/>
  <c r="E50" i="230"/>
  <c r="P11" i="74"/>
  <c r="H30" i="230"/>
  <c r="H34" i="230"/>
  <c r="H37" i="230"/>
  <c r="H41" i="230"/>
  <c r="E48" i="230"/>
  <c r="P12" i="74"/>
  <c r="G11" i="230"/>
  <c r="E11" i="230"/>
  <c r="E52" i="230"/>
  <c r="P13" i="74"/>
  <c r="H29" i="230"/>
  <c r="F44" i="230"/>
  <c r="H38" i="230"/>
  <c r="H42" i="230"/>
  <c r="F11" i="230"/>
  <c r="E21" i="230"/>
  <c r="H25" i="230"/>
  <c r="E34" i="230"/>
  <c r="E42" i="230"/>
  <c r="E25" i="230"/>
  <c r="F46" i="230" l="1"/>
  <c r="F54" i="230" s="1"/>
  <c r="H11" i="230"/>
  <c r="O12" i="74" l="1"/>
  <c r="O13" i="74" l="1"/>
  <c r="G26" i="230" l="1"/>
  <c r="E26" i="230"/>
  <c r="D44" i="230"/>
  <c r="E23" i="240" l="1"/>
  <c r="G23" i="240"/>
  <c r="D42" i="240"/>
  <c r="F44" i="240"/>
  <c r="E44" i="230"/>
  <c r="P10" i="74"/>
  <c r="D46" i="230"/>
  <c r="G44" i="230"/>
  <c r="H26" i="230"/>
  <c r="D44" i="240" l="1"/>
  <c r="E42" i="240"/>
  <c r="H23" i="240"/>
  <c r="G42" i="240"/>
  <c r="F52" i="240"/>
  <c r="H44" i="230"/>
  <c r="G46" i="230"/>
  <c r="D54" i="230"/>
  <c r="E54" i="230" s="1"/>
  <c r="E46" i="230"/>
  <c r="H42" i="240" l="1"/>
  <c r="G44" i="240"/>
  <c r="D52" i="240"/>
  <c r="E44" i="240"/>
  <c r="G54" i="230"/>
  <c r="H54" i="230" s="1"/>
  <c r="H46" i="230"/>
  <c r="G52" i="240" l="1"/>
  <c r="H52" i="240" s="1"/>
  <c r="H44" i="240"/>
  <c r="S28" i="54" l="1"/>
  <c r="N21" i="116" l="1"/>
  <c r="N7" i="116" l="1"/>
  <c r="N8" i="116"/>
  <c r="N10" i="116"/>
  <c r="N6" i="116"/>
  <c r="N23" i="116"/>
  <c r="N20" i="116"/>
  <c r="B10" i="45"/>
  <c r="N10" i="45"/>
  <c r="N26" i="116" l="1"/>
  <c r="N25" i="116"/>
  <c r="N28" i="116" l="1"/>
  <c r="O8" i="74" l="1"/>
  <c r="O19" i="74" l="1"/>
  <c r="F26" i="54" l="1"/>
  <c r="F22" i="54"/>
  <c r="F17" i="54"/>
  <c r="F6" i="54"/>
  <c r="S8" i="54"/>
  <c r="S9" i="54"/>
  <c r="S10" i="54"/>
  <c r="S11" i="54"/>
  <c r="S12" i="54"/>
  <c r="S15" i="54"/>
  <c r="S7" i="54"/>
  <c r="S20" i="54" l="1"/>
  <c r="S24" i="54"/>
  <c r="S19" i="54"/>
  <c r="F30" i="54"/>
  <c r="S27" i="54"/>
  <c r="S26" i="54" s="1"/>
  <c r="S18" i="54"/>
  <c r="S23" i="54" l="1"/>
  <c r="S22" i="54" s="1"/>
  <c r="S17" i="54"/>
  <c r="S13" i="54"/>
  <c r="S6" i="54" s="1"/>
  <c r="G6" i="54"/>
  <c r="S30" i="54" l="1"/>
  <c r="G30" i="54"/>
  <c r="B30" i="54"/>
  <c r="C24" i="74" l="1"/>
  <c r="C21" i="74" l="1"/>
  <c r="C22" i="74"/>
  <c r="P24" i="74" l="1"/>
  <c r="P20" i="74" l="1"/>
  <c r="C19" i="74" l="1"/>
  <c r="P22" i="74" l="1"/>
  <c r="P23" i="74"/>
  <c r="O22" i="74" l="1"/>
  <c r="Q11" i="74"/>
  <c r="Q22" i="74" l="1"/>
  <c r="O21" i="74"/>
  <c r="C23" i="74" l="1"/>
  <c r="O23" i="74" l="1"/>
  <c r="Q12" i="74"/>
  <c r="P8" i="45"/>
  <c r="P7" i="45"/>
  <c r="Q23" i="74" l="1"/>
  <c r="O10" i="45"/>
  <c r="P10" i="45" s="1"/>
  <c r="O14" i="8" l="1"/>
  <c r="P8" i="8"/>
  <c r="P7" i="8" l="1"/>
  <c r="P21" i="74" l="1"/>
  <c r="Q10" i="74"/>
  <c r="Q21" i="74" l="1"/>
  <c r="P11" i="8" l="1"/>
  <c r="P12" i="8" l="1"/>
  <c r="N14" i="8"/>
  <c r="P14" i="8" s="1"/>
  <c r="B14" i="8"/>
  <c r="C9" i="74" s="1"/>
  <c r="O9" i="74" s="1"/>
  <c r="C20" i="74" l="1"/>
  <c r="C25" i="74" s="1"/>
  <c r="C14" i="74"/>
  <c r="Q8" i="74" l="1"/>
  <c r="P7" i="74"/>
  <c r="P19" i="74"/>
  <c r="P14" i="74"/>
  <c r="Q19" i="74" l="1"/>
  <c r="P25" i="74"/>
  <c r="P18" i="74"/>
  <c r="Q13" i="74" l="1"/>
  <c r="O24" i="74"/>
  <c r="Q24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  <c r="N21" i="45" l="1"/>
  <c r="P21" i="45" s="1"/>
  <c r="C52" i="240" l="1"/>
  <c r="E52" i="240" s="1"/>
  <c r="E46" i="240"/>
</calcChain>
</file>

<file path=xl/sharedStrings.xml><?xml version="1.0" encoding="utf-8"?>
<sst xmlns="http://schemas.openxmlformats.org/spreadsheetml/2006/main" count="672" uniqueCount="371">
  <si>
    <t>U.S. Sugar Monthly Import and Re-Exports</t>
  </si>
  <si>
    <t xml:space="preserve"> Fiscal Year (FY) 2022</t>
  </si>
  <si>
    <t>August 2022</t>
  </si>
  <si>
    <t xml:space="preserve">The August WASDE report shows FY 2022 WTO raw sugar tariff-rate quota (TRQ) shortfall projected at 132,277 short tons raw value, unchanged from last month.  No information is available about specific countries.  </t>
  </si>
  <si>
    <t xml:space="preserve">On July 1, the U.S. Department of Commerce increased by 122,470 MTRV Mexico's FY 2022 export limit under the U.S-Mexico sugar suspension agreement. </t>
  </si>
  <si>
    <t>On July 11, USDA increased the FY 2022 WTO raw sugar TRQ by 90,718 MTRV. USDA also extended the entry period by 1 month to October 31, 2022.  On July 21, USTR allocated the TRQ increase among supplying countries.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</si>
  <si>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</si>
  <si>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>Table 1 -- U.S. Monthly Sugar Imports, Fiscal Year (FY) 2022</t>
  </si>
  <si>
    <t>Entries</t>
  </si>
  <si>
    <t>WASDE Projection 1/</t>
  </si>
  <si>
    <t>Percent of WASDE Projection</t>
  </si>
  <si>
    <t>Reference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</si>
  <si>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</si>
  <si>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</si>
  <si>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</si>
  <si>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</si>
  <si>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</si>
  <si>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</si>
  <si>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</si>
  <si>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</si>
  <si>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</si>
  <si>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</si>
  <si>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</si>
  <si>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</si>
  <si>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 xml:space="preserve">Metric Tons, Raw Value </t>
  </si>
  <si>
    <t>MTRV</t>
  </si>
  <si>
    <t>Percent</t>
  </si>
  <si>
    <t>Total Quota (Sum of tables 3-5)</t>
  </si>
  <si>
    <t>Table 3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</si>
  <si>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</si>
  <si>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t>Table 4</t>
  </si>
  <si>
    <t>WTO refined sugar TRQ</t>
  </si>
  <si>
    <t>Table 5</t>
  </si>
  <si>
    <t xml:space="preserve">FTA sugar TRQs </t>
  </si>
  <si>
    <t>Table 7A</t>
  </si>
  <si>
    <t>Re-export program imports</t>
  </si>
  <si>
    <t>Table 2</t>
  </si>
  <si>
    <r>
      <t>Mexico</t>
    </r>
    <r>
      <rPr>
        <vertAlign val="superscript"/>
        <sz val="11"/>
        <rFont val="Arial"/>
        <family val="2"/>
      </rPr>
      <t xml:space="preserve"> </t>
    </r>
  </si>
  <si>
    <t>Table 10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</si>
  <si>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</si>
  <si>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Total</t>
  </si>
  <si>
    <t xml:space="preserve">Short Tons, Raw Value </t>
  </si>
  <si>
    <t>STRV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</si>
  <si>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</si>
  <si>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t>1/ USDA World Agricultural Supply and Demand Estimates (WASDE) report for month indicated.</t>
  </si>
  <si>
    <t>2/ The current and previous months are forecasts. Sources: U.S. Census and FAS.</t>
  </si>
  <si>
    <t>Factor for Metric tons to Short Tons: 1.10231125</t>
  </si>
  <si>
    <r>
      <t>Table 2 -- U.S. Imports of Sugar from Mexico,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</si>
  <si>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Oct-21 Final     </t>
  </si>
  <si>
    <t>Nov-21 Final</t>
  </si>
  <si>
    <t>Dec-21 Final</t>
  </si>
  <si>
    <t xml:space="preserve">Jan-22 Final </t>
  </si>
  <si>
    <t>Feb-22 Final</t>
  </si>
  <si>
    <t xml:space="preserve">Mar-22 Final </t>
  </si>
  <si>
    <t xml:space="preserve">Apr-22 Final </t>
  </si>
  <si>
    <t>May-22 Final</t>
  </si>
  <si>
    <t xml:space="preserve">Jun-22 Final </t>
  </si>
  <si>
    <t>Jul-22 Forecast</t>
  </si>
  <si>
    <t xml:space="preserve">Aug-22 </t>
  </si>
  <si>
    <t xml:space="preserve">Sep-22 </t>
  </si>
  <si>
    <t>FY 2022 Entries-to-date</t>
  </si>
  <si>
    <t xml:space="preserve">Metric Tons </t>
  </si>
  <si>
    <t>District Port Name</t>
  </si>
  <si>
    <t xml:space="preserve">Baltimore, MD           </t>
  </si>
  <si>
    <t xml:space="preserve">El Paso, TX             </t>
  </si>
  <si>
    <t xml:space="preserve">Laredo, TX              </t>
  </si>
  <si>
    <t xml:space="preserve">Mobile, AL              </t>
  </si>
  <si>
    <t>New Orleans, LA</t>
  </si>
  <si>
    <t>New York, NY</t>
  </si>
  <si>
    <t xml:space="preserve">Nogales, AZ             </t>
  </si>
  <si>
    <t>Norfolk, VA.</t>
  </si>
  <si>
    <t>Philadelphia, PA</t>
  </si>
  <si>
    <t xml:space="preserve">San Diego, CA        </t>
  </si>
  <si>
    <t>San Francisco, CA</t>
  </si>
  <si>
    <t xml:space="preserve">San Juan, PR            </t>
  </si>
  <si>
    <t>Savannah, GA</t>
  </si>
  <si>
    <t>Seattle, WA</t>
  </si>
  <si>
    <t>Tampa, FL</t>
  </si>
  <si>
    <t xml:space="preserve">Total 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</si>
  <si>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</si>
  <si>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</si>
  <si>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</si>
  <si>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2/ Raw value is commercial weight multiplied by a factor of 1.06. </t>
  </si>
  <si>
    <t>Totals may not add due to rounding.</t>
  </si>
  <si>
    <t>Table 3A -- U.S. Raw Sugar Tariff-Rate Quota (TRQ) WTO Allocations and Entries By Month, Fiscal Year (FY) 2022</t>
  </si>
  <si>
    <t>FY 2021 TRQ</t>
  </si>
  <si>
    <t xml:space="preserve">Oct-21     </t>
  </si>
  <si>
    <t xml:space="preserve">Nov-21 </t>
  </si>
  <si>
    <t xml:space="preserve">Dec-21 </t>
  </si>
  <si>
    <t xml:space="preserve">Jan-22 </t>
  </si>
  <si>
    <t xml:space="preserve">Feb-22 </t>
  </si>
  <si>
    <t xml:space="preserve">Mar-22 </t>
  </si>
  <si>
    <t xml:space="preserve">Apr-22 </t>
  </si>
  <si>
    <t xml:space="preserve">May-22 </t>
  </si>
  <si>
    <t xml:space="preserve">Jun-22 </t>
  </si>
  <si>
    <t xml:space="preserve">Jul-22 </t>
  </si>
  <si>
    <t>------------------ FY 2022 TRQ --------------</t>
  </si>
  <si>
    <t>FY 2022 Entries-to-date including FY 2021 TRQ</t>
  </si>
  <si>
    <t xml:space="preserve">Entered in October 2021 </t>
  </si>
  <si>
    <t>Entered in November 2021</t>
  </si>
  <si>
    <t>Entered in December 2021</t>
  </si>
  <si>
    <t>4//4/2022</t>
  </si>
  <si>
    <t>TRQ      Entries-to-date</t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</si>
  <si>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</si>
  <si>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TRQ Not entered-to-date</t>
  </si>
  <si>
    <t>Projected Shortfall</t>
  </si>
  <si>
    <t>Metric Tons, Raw Value</t>
  </si>
  <si>
    <t>Argentina</t>
  </si>
  <si>
    <t xml:space="preserve">Australia </t>
  </si>
  <si>
    <t>Barbados</t>
  </si>
  <si>
    <t>Belize</t>
  </si>
  <si>
    <t>Bolivia</t>
  </si>
  <si>
    <t>Brazil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</si>
  <si>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</si>
  <si>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</si>
  <si>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</si>
  <si>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</si>
  <si>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</si>
  <si>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</si>
  <si>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</si>
  <si>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Eswatini (Swaziland)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</si>
  <si>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</si>
  <si>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</si>
  <si>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</si>
  <si>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</si>
  <si>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</si>
  <si>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</si>
  <si>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</si>
  <si>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</si>
  <si>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</si>
  <si>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</si>
  <si>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</si>
  <si>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Mexico 2/</t>
  </si>
  <si>
    <t>Mozambique</t>
  </si>
  <si>
    <t>Nicaragua</t>
  </si>
  <si>
    <t>Panama</t>
  </si>
  <si>
    <t>Papua New Guinea</t>
  </si>
  <si>
    <t>Paraguay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</si>
  <si>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</si>
  <si>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</si>
  <si>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</si>
  <si>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</si>
  <si>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</si>
  <si>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</si>
  <si>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</si>
  <si>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</si>
  <si>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</si>
  <si>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</si>
  <si>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t>1/ On September 13, 2021, USDA set the raw sugar TRQ at the minimum level to which the United States is committed in the Uruguay Round Agreement on Agriculture.</t>
  </si>
  <si>
    <t xml:space="preserve">2/ For all sugar imports from Mexico, see Table 2, U.S. Imports of Sugar from Mexico. </t>
  </si>
  <si>
    <t>Table 3B -- U.S. Raw Sugar Tariff-Rate Quota (TRQ), Fiscal Year (FY) 2022</t>
  </si>
  <si>
    <t>Country</t>
  </si>
  <si>
    <t>Initial FY 2022 TRQ</t>
  </si>
  <si>
    <r>
      <t xml:space="preserve">Surrendered </t>
    </r>
    <r>
      <rPr>
        <b/>
        <vertAlign val="superscript"/>
        <sz val="14"/>
        <rFont val="Arial"/>
        <family val="2"/>
      </rPr>
      <t>1/</t>
    </r>
  </si>
  <si>
    <r>
      <t>Reallocation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4"/>
        <rFont val="Arial"/>
        <family val="2"/>
      </rPr>
      <t>1/</t>
    </r>
  </si>
  <si>
    <r>
      <t xml:space="preserve">TRQ Increase (July) </t>
    </r>
    <r>
      <rPr>
        <b/>
        <vertAlign val="superscript"/>
        <sz val="12"/>
        <rFont val="Arial"/>
        <family val="2"/>
      </rPr>
      <t>2/</t>
    </r>
  </si>
  <si>
    <t>Net FY 2022 TRQ</t>
  </si>
  <si>
    <t>Australia</t>
  </si>
  <si>
    <t>Mexico</t>
  </si>
  <si>
    <t>Philippines</t>
  </si>
  <si>
    <t>St. Kitts &amp; Nevis</t>
  </si>
  <si>
    <t xml:space="preserve">1/ On April 18, 2022, USTR reallocated sugar from countries that have stated they do not plan to fill their FY 2022 allocated raw cane sugar quantities (87 FR 23009). </t>
  </si>
  <si>
    <t>2/ On July 11, 2022, USDA increased the TRQ by 90,718 mtrv (87 FR 41106). On July 21, USTR allocated the TRQ increase among supplying countries (87 FR 43593).</t>
  </si>
  <si>
    <t>Table 4 -- U.S. Refined Sugar Tariff-Rate Quota (TRQ) WTO Allocations and Entries By Month, Fiscal Year (FY) 2022</t>
  </si>
  <si>
    <t>------------------------Fiscal Year 2022-----------------------</t>
  </si>
  <si>
    <t>Entries-to-date</t>
  </si>
  <si>
    <t>TRQ</t>
  </si>
  <si>
    <t>Percent Filled</t>
  </si>
  <si>
    <t xml:space="preserve">Global Minimum </t>
  </si>
  <si>
    <t>Canada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</si>
  <si>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</si>
  <si>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t>n/a</t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</si>
  <si>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</si>
  <si>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</si>
  <si>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 xml:space="preserve">1/ For all sugar imports from Mexico, see Table 2, U.S. Imports of Sugar from Mexico. </t>
  </si>
  <si>
    <t xml:space="preserve">2/ The tranches of the FY 2022 specialty sugar TRQ open as follows in MTRV (86 FR 50871).  </t>
  </si>
  <si>
    <t xml:space="preserve">Tranche 1     </t>
  </si>
  <si>
    <t xml:space="preserve">Tranche 2     </t>
  </si>
  <si>
    <t xml:space="preserve">Tranche 3     </t>
  </si>
  <si>
    <t xml:space="preserve">Tranche 4     </t>
  </si>
  <si>
    <t xml:space="preserve">Tranche 5     </t>
  </si>
  <si>
    <r>
      <t>Table 5 -- Sugar Imports During Fiscal Year (FY) 2022 Under Free Trade Agreement Tariff-Rate Quotas 1/</t>
    </r>
    <r>
      <rPr>
        <b/>
        <sz val="14"/>
        <rFont val="Arial"/>
        <family val="2"/>
      </rPr>
      <t xml:space="preserve"> </t>
    </r>
  </si>
  <si>
    <t xml:space="preserve"> Jan-Sep 2021</t>
  </si>
  <si>
    <t xml:space="preserve">Nov-21     </t>
  </si>
  <si>
    <t xml:space="preserve">Dec-21  </t>
  </si>
  <si>
    <t>CY 2021</t>
  </si>
  <si>
    <t>CY 2022</t>
  </si>
  <si>
    <t>FY 2022</t>
  </si>
  <si>
    <t>Final</t>
  </si>
  <si>
    <t xml:space="preserve">Final </t>
  </si>
  <si>
    <t xml:space="preserve"> Jan-Sep Entries-to-date</t>
  </si>
  <si>
    <t>CAFTA-DR, Total</t>
  </si>
  <si>
    <t>Costa Rica special</t>
  </si>
  <si>
    <t>Dominican Republic 2/</t>
  </si>
  <si>
    <t xml:space="preserve">Guatemala </t>
  </si>
  <si>
    <t>Panama, Total</t>
  </si>
  <si>
    <t>Panama, General  2/</t>
  </si>
  <si>
    <t xml:space="preserve">   Panama, Raw Sugar</t>
  </si>
  <si>
    <t xml:space="preserve">   Panama, Specialty </t>
  </si>
  <si>
    <t>Peru, Total</t>
  </si>
  <si>
    <t>Peru 2/</t>
  </si>
  <si>
    <t xml:space="preserve">Peru special </t>
  </si>
  <si>
    <t>Canada USMCA Refined</t>
  </si>
  <si>
    <t>Beet</t>
  </si>
  <si>
    <t>Cane</t>
  </si>
  <si>
    <t xml:space="preserve">Source: US Customs and Border Protection, Weekly Quota Status Report  </t>
  </si>
  <si>
    <t>1/ These TRQs are established on a calendar year basis</t>
  </si>
  <si>
    <t>2/ Determined not to have a trade surplus as defined under the Free Trade Agreements, and thus the CY 2022 TRQs are zero (86 FR 71700)</t>
  </si>
  <si>
    <t>Additional countries with which the United States has Free Trade Agreements covering sugar:</t>
  </si>
  <si>
    <t xml:space="preserve">Singapore has unlimited access for originating sugar, but does not produce sugar </t>
  </si>
  <si>
    <t>Bahrain has unlimited access for originating sugar, but does not produce sugar</t>
  </si>
  <si>
    <t>Oman has unlimited access for originating sugar, but does not produce sugar</t>
  </si>
  <si>
    <t>Chile was determined to have no trade surplus as defined under the Free Trade Agreement, and thus the CY 2022 TRQ is zero (86 FR 71700)</t>
  </si>
  <si>
    <t>Morocco was determined to have no trade surplus as defined under the Free Trade Agreement, and thus the CY 2022 TRQ is zero (86 FR 71700)</t>
  </si>
  <si>
    <t xml:space="preserve">Table 6 -- U.S. Refined Sugar Reported for Export Credit Under the U.S. Refined Sugar Re-Export Program, Fiscal Year (FY) 2022 1/ </t>
  </si>
  <si>
    <t>Exports-to-date</t>
  </si>
  <si>
    <t>All Other Countries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</si>
  <si>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</si>
  <si>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t>1/ Reporting deadline is the end of the calendar quarter following the quarter in which the transaction occurs.  Monthly totals are preliminary until after reporting deadline.</t>
  </si>
  <si>
    <t>Table 7A -- U.S. Raw Sugar Imports Under the U.S. Sugar Re-Export Program, Fiscal Year (FY) 2022</t>
  </si>
  <si>
    <t>Others</t>
  </si>
  <si>
    <t xml:space="preserve">1/ Reporting deadline is the end of the calendar quarter following the quarter in which the transaction occurs.  </t>
  </si>
  <si>
    <t>Table 7B -- U.S. Raw Sugar Imports Under the U.S. Sugar Re-Export Program, by Fiscal Year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</si>
  <si>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</si>
  <si>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t xml:space="preserve">Table 8A -- Estimate of Fiscal Year 2022 U.S. Sugar Imports </t>
    </r>
    <r>
      <rPr>
        <b/>
        <sz val="11"/>
        <rFont val="Arial"/>
        <family val="2"/>
      </rPr>
      <t>1/</t>
    </r>
  </si>
  <si>
    <t>TRQ Limit</t>
  </si>
  <si>
    <t>Aug</t>
  </si>
  <si>
    <t xml:space="preserve">Change in Forecast, Aug vs July </t>
  </si>
  <si>
    <t>Change in Forecast, Aug vs July</t>
  </si>
  <si>
    <t>--------- MTRV --------</t>
  </si>
  <si>
    <t>---------- STRV -----------</t>
  </si>
  <si>
    <t>FY 2022 WTO Raw sugar TRQ:</t>
  </si>
  <si>
    <t>WTO Minimum Quantity</t>
  </si>
  <si>
    <t>TRQ Increase (July)</t>
  </si>
  <si>
    <t>FY 2022 Total TRQ</t>
  </si>
  <si>
    <t xml:space="preserve">FY 2021 TRQ Entered in FY 2022 </t>
  </si>
  <si>
    <t>FY 2022 TRQ sugar not entered by Sep 30 6/</t>
  </si>
  <si>
    <t>Sub-Total WTO Raw Sugar TRQ</t>
  </si>
  <si>
    <t>FY 2022 WTO Refined sugar TRQ:</t>
  </si>
  <si>
    <t>Canada Quantity</t>
  </si>
  <si>
    <t>Mexico Quantity</t>
  </si>
  <si>
    <t xml:space="preserve">Global Quantity  </t>
  </si>
  <si>
    <t>Specialty Sugar</t>
  </si>
  <si>
    <t xml:space="preserve">WTO Minimum Quantity </t>
  </si>
  <si>
    <t>Additional Quantity</t>
  </si>
  <si>
    <t>Sub-Total WTO Refined Sugar TRQ</t>
  </si>
  <si>
    <t>Free Trade Agreements (Calendar Year TRQs):</t>
  </si>
  <si>
    <t>CAFTA/DR CY 2022 Allocation</t>
  </si>
  <si>
    <t>Oct-Dec 2021 Entries</t>
  </si>
  <si>
    <t>Jan-Sep 2022 Projected Entries</t>
  </si>
  <si>
    <t>Peru CY 2022 Allocation</t>
  </si>
  <si>
    <t>Colombia CY 2022 Allocation</t>
  </si>
  <si>
    <t>Panama CY 2022 Allocation</t>
  </si>
  <si>
    <t>Canada CY 2022 Allocation</t>
  </si>
  <si>
    <r>
      <t>Sub-Total Free Trade Agreements</t>
    </r>
    <r>
      <rPr>
        <sz val="11"/>
        <rFont val="Arial"/>
        <family val="2"/>
      </rPr>
      <t xml:space="preserve"> 5/</t>
    </r>
  </si>
  <si>
    <t xml:space="preserve">Total TRQ 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</si>
  <si>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</si>
  <si>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Re-export Program Imports 3/</t>
  </si>
  <si>
    <t>High-Tier (over-quota)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</si>
  <si>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</si>
  <si>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</si>
  <si>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t>1/  October 1, 2021 - September 30, 2022.</t>
  </si>
  <si>
    <t>2/  All sugar covered by the scope of the U.S.-Mexico suspension agreement.</t>
  </si>
  <si>
    <t>3/  Includes sugar from Mexico imported for the U.S. sugar re-export program (HTS 1701.14.20), which is not covered by the scope of the suspension agreements.</t>
  </si>
  <si>
    <t>4/ Totals may not add due to rounding.</t>
  </si>
  <si>
    <t>5/ Entries in a fiscal year can exceed a calendar year TRQ limit.</t>
  </si>
  <si>
    <t>6/ Comprised of 50,000 MTRV that is projected to enter in October 2022, and 70,000 MTRV which is projected never to enter (i.e. the 13-month TRQ shortfall).  See Table 3A.</t>
  </si>
  <si>
    <t>Table 8B -- Estimate of Fiscal Year 2023 U.S. Sugar Imports 1/</t>
  </si>
  <si>
    <t>--------- STRV ----------</t>
  </si>
  <si>
    <t>FY 2023 WTO Raw sugar TRQ:</t>
  </si>
  <si>
    <t>Shortfall</t>
  </si>
  <si>
    <t>FY 2022 TRQ Entered in FY 2023</t>
  </si>
  <si>
    <t>FY 2023 WTO Refined sugar TRQ:</t>
  </si>
  <si>
    <t>CAFTA/DR CY 2023 Allocation</t>
  </si>
  <si>
    <t>Oct-Dec 2022 Projected Entries</t>
  </si>
  <si>
    <t>Jan-Sep 2023 Projected Entries</t>
  </si>
  <si>
    <t>Peru CY 2023 Allocation</t>
  </si>
  <si>
    <t>Colombia CY 2023 Allocation</t>
  </si>
  <si>
    <t>Panama CY 2023 Allocation</t>
  </si>
  <si>
    <t>Canada CY 2023 Allocation</t>
  </si>
  <si>
    <t>1/  October 1, 2022 - September 30, 2023.</t>
  </si>
  <si>
    <t xml:space="preserve">5/ Entries in a fiscal year can exceed a calendar year TRQ limit.  </t>
  </si>
  <si>
    <t>Table 9 -- U.S. Sugar Re-Export Program License Balances and Transactions, Fiscal Years (October 1 - September 30)</t>
  </si>
  <si>
    <t>Fiscal Year by Quarter 5/</t>
  </si>
  <si>
    <t>Refiners</t>
  </si>
  <si>
    <t xml:space="preserve">Sugar-Containing Product </t>
  </si>
  <si>
    <t xml:space="preserve">Polyhydric Alcohol </t>
  </si>
  <si>
    <t>Metric tons raw value</t>
  </si>
  <si>
    <t>Short tons, refined sugar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</si>
  <si>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</si>
  <si>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t>Imports</t>
  </si>
  <si>
    <t>Export Credits</t>
  </si>
  <si>
    <t>Transfers to SCP and Poly Licenses</t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</si>
  <si>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</si>
  <si>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>Transfers from Licensed Refiners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</si>
  <si>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</si>
  <si>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>Used to make Polyhydric Alcohols</t>
  </si>
  <si>
    <t>FY 2020:</t>
  </si>
  <si>
    <t>October-December</t>
  </si>
  <si>
    <t xml:space="preserve">January-March </t>
  </si>
  <si>
    <t>April-June</t>
  </si>
  <si>
    <t>July-September</t>
  </si>
  <si>
    <t>FY 2021:</t>
  </si>
  <si>
    <t xml:space="preserve">October-December </t>
  </si>
  <si>
    <t xml:space="preserve">April-June </t>
  </si>
  <si>
    <t xml:space="preserve">July-September </t>
  </si>
  <si>
    <t>FY 2022:</t>
  </si>
  <si>
    <t>April-June 8/</t>
  </si>
  <si>
    <t>Summary by Fiscal Year:</t>
  </si>
  <si>
    <t>FY 2006</t>
  </si>
  <si>
    <t>FY 2007</t>
  </si>
  <si>
    <t>FY 2008</t>
  </si>
  <si>
    <t>FY 2009</t>
  </si>
  <si>
    <t>FY 2010</t>
  </si>
  <si>
    <t>FY 2011</t>
  </si>
  <si>
    <t>FY 2012</t>
  </si>
  <si>
    <t xml:space="preserve">FY 2013 2/ </t>
  </si>
  <si>
    <t>FY 2014</t>
  </si>
  <si>
    <t>FY 2015</t>
  </si>
  <si>
    <t>FY 2016</t>
  </si>
  <si>
    <t>FY 2017</t>
  </si>
  <si>
    <t>FY 2018</t>
  </si>
  <si>
    <t>FY 2019</t>
  </si>
  <si>
    <t xml:space="preserve">FY 2020 </t>
  </si>
  <si>
    <t xml:space="preserve">FY 2021 </t>
  </si>
  <si>
    <t>FY 2022 6/</t>
  </si>
  <si>
    <t>na</t>
  </si>
  <si>
    <t>FY 2023 7/</t>
  </si>
  <si>
    <t>NA = data not available.</t>
  </si>
  <si>
    <t>1/  A negative balance indicates that cumulative exports and transfers exceed cumulative imports.  A positive balance indicates that cumulative imports exceed cumulative exports and transfers.</t>
  </si>
  <si>
    <t xml:space="preserve">2/  The July-Sept. amount of 536,285 in "Refiners Imports" is the sum of the following: imports, 6,175 MTRV; exchange of CCC-owned sugar for credits, 516,981 MTRV; transfers between refiners, 13,129 MTRV.  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</si>
  <si>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</si>
  <si>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</si>
  <si>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>5/  Balances may vary slightly from previously published figures due to corrections or adjustments to reported transactions.</t>
  </si>
  <si>
    <r>
      <t xml:space="preserve">6/  Forecast of </t>
    </r>
    <r>
      <rPr>
        <b/>
        <sz val="14"/>
        <rFont val="Arial"/>
        <family val="2"/>
      </rPr>
      <t>284,940</t>
    </r>
    <r>
      <rPr>
        <sz val="14"/>
        <rFont val="Arial"/>
        <family val="2"/>
      </rPr>
      <t xml:space="preserve"> MT for refiner transfers is based on a linear trend of FY 2017-2021 of combined SCP exports and Polyhydric use.  </t>
    </r>
  </si>
  <si>
    <r>
      <t xml:space="preserve">7/  Forecast of </t>
    </r>
    <r>
      <rPr>
        <b/>
        <sz val="14"/>
        <rFont val="Arial"/>
        <family val="2"/>
      </rPr>
      <t>285,375</t>
    </r>
    <r>
      <rPr>
        <sz val="14"/>
        <rFont val="Arial"/>
        <family val="2"/>
      </rPr>
      <t xml:space="preserve"> MT for refiner transfers is based on a linear trend of FY 2018-2022 of combined SCP exports and Polyhydric use.  </t>
    </r>
  </si>
  <si>
    <t>8/  Reporting deadline is the end of the calendar quarter following the quarter in which the transaction occurs.  Monthly totals are preliminary until after reporting deadline.</t>
  </si>
  <si>
    <r>
      <t>Table 10 -- U.S. High Duty Sugar Imports,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</si>
  <si>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Oct-21 Final    </t>
  </si>
  <si>
    <t xml:space="preserve">Nov-21 Final </t>
  </si>
  <si>
    <t xml:space="preserve">Dec-21 Final  </t>
  </si>
  <si>
    <t>Mar-22 Final</t>
  </si>
  <si>
    <t>Apr-22 Final</t>
  </si>
  <si>
    <t xml:space="preserve">May-22 Final </t>
  </si>
  <si>
    <t>By Country:</t>
  </si>
  <si>
    <t>China</t>
  </si>
  <si>
    <t>Belgium</t>
  </si>
  <si>
    <t>All other countries</t>
  </si>
  <si>
    <t>By Port:</t>
  </si>
  <si>
    <t>Los Angeles, CA</t>
  </si>
  <si>
    <t>Buffalo, NY</t>
  </si>
  <si>
    <t>Laredo, TX</t>
  </si>
  <si>
    <t>Cleveland, OH</t>
  </si>
  <si>
    <t>Houston-Galveston, TX</t>
  </si>
  <si>
    <t>All other ports</t>
  </si>
  <si>
    <t>Total Raw value 2/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</si>
  <si>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</si>
  <si>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entries, other than under a preferential trade program, under U.S. Harmonized Tariff Schedule (HTS) lines 1701.12.5000, 1701.13.5000, 1701.14.5000, 1701.93.1000, 1701.99.5015, 1701.99.5017, 1701.99.5025, 1701.99.5050, 1702.90.2000, and 2106.90.4600.</t>
  </si>
  <si>
    <t xml:space="preserve">2/ Raw value is commercial weight multiplied by a factor of 1.07. </t>
  </si>
  <si>
    <t>Table 11A -- U.S. Sugar-Containing Products Tariff-Rate Quota (TRQ) Allocations and Entries By Month, Fiscal Year (FY) 2022 1/</t>
  </si>
  <si>
    <t xml:space="preserve">Metric Tons, Raw Value  </t>
  </si>
  <si>
    <r>
      <t>All other Countries</t>
    </r>
    <r>
      <rPr>
        <vertAlign val="superscript"/>
        <sz val="11"/>
        <rFont val="Arial"/>
        <family val="2"/>
      </rPr>
      <t xml:space="preserve"> </t>
    </r>
  </si>
  <si>
    <t>1/ Authorized under Additional U.S. Note 8 of Chapter 17 of the U.S. Harmonized Tariff Schedule: 59,250 MT to Canada, and 5,459 MT to other countries on a first-come, first-served basis.</t>
  </si>
  <si>
    <t>Table 11B -- U.S. Sugar-Containing Products Tariff-Rate Quota (TRQ) Allocation and Entries for Canada under USMCA, Calendar Year (CY) 2022 1/</t>
  </si>
  <si>
    <t xml:space="preserve">Jan-22  </t>
  </si>
  <si>
    <t xml:space="preserve">Feb-22   </t>
  </si>
  <si>
    <t xml:space="preserve">Oct-22     </t>
  </si>
  <si>
    <t xml:space="preserve">Nov-22     </t>
  </si>
  <si>
    <t xml:space="preserve">Dec-22  </t>
  </si>
  <si>
    <t>CY 2022 TRQ</t>
  </si>
  <si>
    <t>1/ Canada's SCP TRQ allocation under the USMCA (85 FR 39660).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</si>
</sst>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&quot;$&quot;#,##0.0000"/>
    <numFmt numFmtId="175" formatCode="#,##0.00000000"/>
    <numFmt numFmtId="176" formatCode="0.000"/>
  </numFmts>
  <fonts count="12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vertAlign val="subscript"/>
      <sz val="11"/>
      <name val="Arial"/>
      <family val="2"/>
    </font>
    <font>
      <sz val="10"/>
      <color indexed="22"/>
      <name val="Arial"/>
      <family val="2"/>
    </font>
    <font>
      <b/>
      <vertAlign val="superscript"/>
      <sz val="14"/>
      <name val="Arial"/>
      <family val="2"/>
    </font>
    <font>
      <sz val="8"/>
      <color rgb="FF333333"/>
      <name val="Arial"/>
      <family val="2"/>
    </font>
    <font>
      <sz val="10"/>
      <name val="Lucida Sans Unicode"/>
      <family val="2"/>
    </font>
    <font>
      <sz val="11"/>
      <color rgb="FFFF0000"/>
      <name val="Arial"/>
      <family val="2"/>
    </font>
    <font>
      <sz val="11"/>
      <name val="Calibri"/>
      <family val="2"/>
    </font>
    <font>
      <sz val="10"/>
      <color rgb="FF01203B"/>
      <name val="Roboto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E2E2E2"/>
      </right>
      <top style="thin">
        <color rgb="FFE2E2E2"/>
      </top>
      <bottom style="thin">
        <color rgb="FFE2E2E2"/>
      </bottom>
      <diagonal/>
    </border>
    <border>
      <left/>
      <right/>
      <top style="thin">
        <color theme="4" tint="0.39997558519241921"/>
      </top>
      <bottom/>
      <diagonal/>
    </border>
  </borders>
  <cellStyleXfs count="1985">
    <xf numFmtId="0" fontId="0" fillId="0" borderId="0"/>
    <xf numFmtId="43" fontId="4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3" fontId="50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54" fillId="0" borderId="0"/>
    <xf numFmtId="0" fontId="54" fillId="0" borderId="0"/>
    <xf numFmtId="9" fontId="43" fillId="0" borderId="0" applyFont="0" applyFill="0" applyBorder="0" applyAlignment="0" applyProtection="0"/>
    <xf numFmtId="0" fontId="55" fillId="0" borderId="0">
      <protection locked="0"/>
    </xf>
    <xf numFmtId="167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40" fillId="0" borderId="0"/>
    <xf numFmtId="0" fontId="58" fillId="0" borderId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4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5" borderId="15" applyNumberFormat="0" applyAlignment="0" applyProtection="0"/>
    <xf numFmtId="0" fontId="69" fillId="6" borderId="16" applyNumberFormat="0" applyAlignment="0" applyProtection="0"/>
    <xf numFmtId="0" fontId="70" fillId="6" borderId="15" applyNumberFormat="0" applyAlignment="0" applyProtection="0"/>
    <xf numFmtId="0" fontId="71" fillId="0" borderId="17" applyNumberFormat="0" applyFill="0" applyAlignment="0" applyProtection="0"/>
    <xf numFmtId="0" fontId="72" fillId="7" borderId="18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6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76" fillId="32" borderId="0" applyNumberFormat="0" applyBorder="0" applyAlignment="0" applyProtection="0"/>
    <xf numFmtId="0" fontId="38" fillId="0" borderId="0"/>
    <xf numFmtId="0" fontId="38" fillId="8" borderId="19" applyNumberFormat="0" applyFont="0" applyAlignment="0" applyProtection="0"/>
    <xf numFmtId="43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7" fillId="0" borderId="0"/>
    <xf numFmtId="0" fontId="43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0" borderId="0"/>
    <xf numFmtId="0" fontId="35" fillId="8" borderId="19" applyNumberFormat="0" applyFont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8" borderId="19" applyNumberFormat="0" applyFont="0" applyAlignment="0" applyProtection="0"/>
    <xf numFmtId="0" fontId="34" fillId="8" borderId="19" applyNumberFormat="0" applyFont="0" applyAlignment="0" applyProtection="0"/>
    <xf numFmtId="0" fontId="33" fillId="0" borderId="0"/>
    <xf numFmtId="43" fontId="33" fillId="0" borderId="0" applyFont="0" applyFill="0" applyBorder="0" applyAlignment="0" applyProtection="0"/>
    <xf numFmtId="0" fontId="4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8" borderId="19" applyNumberFormat="0" applyFont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8" borderId="19" applyNumberFormat="0" applyFont="0" applyAlignment="0" applyProtection="0"/>
    <xf numFmtId="0" fontId="32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19" applyNumberFormat="0" applyFont="0" applyAlignment="0" applyProtection="0"/>
    <xf numFmtId="0" fontId="32" fillId="8" borderId="19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19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19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19" applyNumberFormat="0" applyFont="0" applyAlignment="0" applyProtection="0"/>
    <xf numFmtId="0" fontId="30" fillId="8" borderId="19" applyNumberFormat="0" applyFont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19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19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19" applyNumberFormat="0" applyFont="0" applyAlignment="0" applyProtection="0"/>
    <xf numFmtId="0" fontId="30" fillId="8" borderId="19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0" borderId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19" applyNumberFormat="0" applyFont="0" applyAlignment="0" applyProtection="0"/>
    <xf numFmtId="0" fontId="29" fillId="8" borderId="19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43" fillId="0" borderId="0"/>
    <xf numFmtId="9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19" applyNumberFormat="0" applyFont="0" applyAlignment="0" applyProtection="0"/>
    <xf numFmtId="0" fontId="13" fillId="8" borderId="1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9" applyNumberFormat="0" applyFont="0" applyAlignment="0" applyProtection="0"/>
    <xf numFmtId="0" fontId="12" fillId="8" borderId="19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9" applyNumberFormat="0" applyFont="0" applyAlignment="0" applyProtection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9" applyNumberFormat="0" applyFont="0" applyAlignment="0" applyProtection="0"/>
    <xf numFmtId="0" fontId="12" fillId="8" borderId="19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19" applyNumberFormat="0" applyFont="0" applyAlignment="0" applyProtection="0"/>
    <xf numFmtId="0" fontId="12" fillId="8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0" fillId="0" borderId="0"/>
    <xf numFmtId="44" fontId="114" fillId="0" borderId="0" applyFont="0" applyFill="0" applyBorder="0" applyAlignment="0" applyProtection="0"/>
    <xf numFmtId="0" fontId="43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89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4" xfId="0" applyBorder="1"/>
    <xf numFmtId="3" fontId="43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46" fillId="0" borderId="5" xfId="0" applyFont="1" applyBorder="1"/>
    <xf numFmtId="0" fontId="49" fillId="0" borderId="2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4" fontId="49" fillId="0" borderId="0" xfId="0" quotePrefix="1" applyNumberFormat="1" applyFont="1" applyBorder="1" applyAlignment="1">
      <alignment horizontal="center"/>
    </xf>
    <xf numFmtId="0" fontId="43" fillId="0" borderId="0" xfId="0" applyFont="1" applyFill="1"/>
    <xf numFmtId="0" fontId="43" fillId="0" borderId="0" xfId="0" applyFont="1" applyBorder="1"/>
    <xf numFmtId="0" fontId="53" fillId="0" borderId="0" xfId="0" applyFont="1"/>
    <xf numFmtId="3" fontId="4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4" fillId="0" borderId="0" xfId="0" applyFont="1"/>
    <xf numFmtId="0" fontId="47" fillId="0" borderId="4" xfId="0" applyFont="1" applyBorder="1" applyAlignment="1">
      <alignment horizontal="left"/>
    </xf>
    <xf numFmtId="14" fontId="83" fillId="0" borderId="2" xfId="0" applyNumberFormat="1" applyFont="1" applyBorder="1" applyAlignment="1">
      <alignment horizontal="center"/>
    </xf>
    <xf numFmtId="14" fontId="83" fillId="0" borderId="0" xfId="0" applyNumberFormat="1" applyFont="1" applyBorder="1" applyAlignment="1">
      <alignment horizontal="center"/>
    </xf>
    <xf numFmtId="17" fontId="41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82" fillId="0" borderId="4" xfId="0" applyFont="1" applyBorder="1" applyAlignment="1">
      <alignment horizontal="center" wrapText="1"/>
    </xf>
    <xf numFmtId="0" fontId="0" fillId="0" borderId="0" xfId="0"/>
    <xf numFmtId="0" fontId="57" fillId="0" borderId="0" xfId="0" applyFont="1"/>
    <xf numFmtId="0" fontId="82" fillId="0" borderId="1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43" fillId="0" borderId="0" xfId="0" applyFont="1" applyAlignment="1">
      <alignment vertical="top"/>
    </xf>
    <xf numFmtId="172" fontId="43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43" fillId="0" borderId="0" xfId="0" applyFont="1"/>
    <xf numFmtId="169" fontId="0" fillId="0" borderId="0" xfId="0" applyNumberFormat="1"/>
    <xf numFmtId="4" fontId="0" fillId="0" borderId="0" xfId="0" applyNumberFormat="1"/>
    <xf numFmtId="0" fontId="79" fillId="0" borderId="0" xfId="0" applyFont="1" applyAlignment="1">
      <alignment vertical="top"/>
    </xf>
    <xf numFmtId="0" fontId="0" fillId="0" borderId="9" xfId="0" applyBorder="1"/>
    <xf numFmtId="0" fontId="57" fillId="0" borderId="0" xfId="11" applyFont="1"/>
    <xf numFmtId="3" fontId="57" fillId="0" borderId="0" xfId="0" applyNumberFormat="1" applyFont="1"/>
    <xf numFmtId="0" fontId="57" fillId="0" borderId="0" xfId="0" applyFont="1" applyBorder="1"/>
    <xf numFmtId="3" fontId="57" fillId="0" borderId="0" xfId="0" applyNumberFormat="1" applyFont="1" applyBorder="1"/>
    <xf numFmtId="3" fontId="57" fillId="0" borderId="0" xfId="0" applyNumberFormat="1" applyFont="1" applyFill="1" applyBorder="1" applyAlignment="1">
      <alignment horizontal="right"/>
    </xf>
    <xf numFmtId="0" fontId="57" fillId="0" borderId="1" xfId="0" applyFont="1" applyBorder="1"/>
    <xf numFmtId="0" fontId="57" fillId="0" borderId="0" xfId="0" applyFont="1" applyBorder="1" applyAlignment="1">
      <alignment horizontal="right"/>
    </xf>
    <xf numFmtId="0" fontId="89" fillId="0" borderId="0" xfId="0" applyFont="1" applyBorder="1" applyAlignment="1">
      <alignment wrapText="1"/>
    </xf>
    <xf numFmtId="3" fontId="89" fillId="0" borderId="0" xfId="0" applyNumberFormat="1" applyFont="1" applyBorder="1" applyAlignment="1">
      <alignment horizontal="right"/>
    </xf>
    <xf numFmtId="3" fontId="57" fillId="0" borderId="0" xfId="0" applyNumberFormat="1" applyFont="1" applyBorder="1" applyAlignment="1">
      <alignment horizontal="right"/>
    </xf>
    <xf numFmtId="0" fontId="57" fillId="0" borderId="0" xfId="0" applyFont="1" applyFill="1" applyBorder="1" applyAlignment="1">
      <alignment horizontal="right"/>
    </xf>
    <xf numFmtId="0" fontId="57" fillId="0" borderId="4" xfId="0" applyFont="1" applyBorder="1" applyAlignment="1">
      <alignment wrapText="1"/>
    </xf>
    <xf numFmtId="4" fontId="43" fillId="0" borderId="0" xfId="0" applyNumberFormat="1" applyFont="1"/>
    <xf numFmtId="0" fontId="57" fillId="0" borderId="0" xfId="0" applyFont="1" applyFill="1" applyBorder="1" applyAlignment="1"/>
    <xf numFmtId="0" fontId="57" fillId="0" borderId="2" xfId="0" applyFont="1" applyBorder="1"/>
    <xf numFmtId="0" fontId="43" fillId="0" borderId="0" xfId="0" applyFont="1" applyFill="1" applyAlignment="1"/>
    <xf numFmtId="0" fontId="0" fillId="0" borderId="0" xfId="0" applyAlignment="1"/>
    <xf numFmtId="0" fontId="57" fillId="0" borderId="2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165" fontId="89" fillId="0" borderId="1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3" fontId="57" fillId="0" borderId="2" xfId="0" applyNumberFormat="1" applyFont="1" applyBorder="1" applyAlignment="1">
      <alignment horizontal="right"/>
    </xf>
    <xf numFmtId="165" fontId="94" fillId="0" borderId="4" xfId="0" applyNumberFormat="1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top" wrapText="1"/>
    </xf>
    <xf numFmtId="0" fontId="57" fillId="0" borderId="0" xfId="0" applyFont="1" applyAlignment="1">
      <alignment vertical="top"/>
    </xf>
    <xf numFmtId="17" fontId="57" fillId="0" borderId="10" xfId="0" quotePrefix="1" applyNumberFormat="1" applyFont="1" applyBorder="1" applyAlignment="1">
      <alignment horizontal="center" vertical="center" wrapText="1"/>
    </xf>
    <xf numFmtId="17" fontId="57" fillId="0" borderId="11" xfId="0" quotePrefix="1" applyNumberFormat="1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0" fontId="57" fillId="0" borderId="2" xfId="0" applyFont="1" applyBorder="1" applyAlignment="1">
      <alignment readingOrder="1"/>
    </xf>
    <xf numFmtId="0" fontId="57" fillId="0" borderId="0" xfId="0" applyFont="1" applyBorder="1" applyAlignment="1">
      <alignment readingOrder="1"/>
    </xf>
    <xf numFmtId="0" fontId="89" fillId="0" borderId="0" xfId="0" applyFont="1" applyBorder="1" applyAlignment="1">
      <alignment readingOrder="1"/>
    </xf>
    <xf numFmtId="0" fontId="57" fillId="0" borderId="0" xfId="0" applyFont="1" applyFill="1" applyBorder="1" applyAlignment="1">
      <alignment readingOrder="1"/>
    </xf>
    <xf numFmtId="0" fontId="57" fillId="0" borderId="4" xfId="0" applyFont="1" applyBorder="1" applyAlignment="1">
      <alignment readingOrder="1"/>
    </xf>
    <xf numFmtId="3" fontId="57" fillId="0" borderId="1" xfId="0" applyNumberFormat="1" applyFont="1" applyBorder="1" applyAlignment="1">
      <alignment readingOrder="1"/>
    </xf>
    <xf numFmtId="3" fontId="57" fillId="0" borderId="0" xfId="0" applyNumberFormat="1" applyFont="1" applyBorder="1" applyAlignment="1">
      <alignment readingOrder="1"/>
    </xf>
    <xf numFmtId="9" fontId="57" fillId="0" borderId="1" xfId="0" applyNumberFormat="1" applyFont="1" applyBorder="1" applyAlignment="1">
      <alignment readingOrder="1"/>
    </xf>
    <xf numFmtId="168" fontId="57" fillId="0" borderId="0" xfId="0" applyNumberFormat="1" applyFont="1" applyBorder="1" applyAlignment="1">
      <alignment readingOrder="1"/>
    </xf>
    <xf numFmtId="3" fontId="57" fillId="0" borderId="4" xfId="10" applyNumberFormat="1" applyFont="1" applyBorder="1" applyAlignment="1" applyProtection="1">
      <alignment horizontal="right"/>
    </xf>
    <xf numFmtId="3" fontId="57" fillId="0" borderId="0" xfId="0" applyNumberFormat="1" applyFont="1" applyAlignment="1">
      <alignment readingOrder="1"/>
    </xf>
    <xf numFmtId="3" fontId="57" fillId="0" borderId="1" xfId="0" applyNumberFormat="1" applyFont="1" applyFill="1" applyBorder="1" applyAlignment="1">
      <alignment readingOrder="1"/>
    </xf>
    <xf numFmtId="3" fontId="57" fillId="0" borderId="0" xfId="0" applyNumberFormat="1" applyFont="1" applyFill="1" applyBorder="1" applyAlignment="1">
      <alignment readingOrder="1"/>
    </xf>
    <xf numFmtId="3" fontId="57" fillId="0" borderId="4" xfId="10" applyNumberFormat="1" applyFont="1" applyFill="1" applyBorder="1" applyAlignment="1" applyProtection="1">
      <alignment horizontal="right"/>
    </xf>
    <xf numFmtId="165" fontId="57" fillId="0" borderId="0" xfId="1" applyNumberFormat="1" applyFont="1" applyFill="1" applyBorder="1" applyAlignment="1">
      <alignment readingOrder="1"/>
    </xf>
    <xf numFmtId="164" fontId="57" fillId="0" borderId="0" xfId="0" applyNumberFormat="1" applyFont="1" applyBorder="1"/>
    <xf numFmtId="3" fontId="57" fillId="0" borderId="0" xfId="0" applyNumberFormat="1" applyFont="1" applyAlignment="1">
      <alignment horizontal="right" vertical="top"/>
    </xf>
    <xf numFmtId="3" fontId="57" fillId="0" borderId="0" xfId="0" applyNumberFormat="1" applyFont="1" applyAlignment="1">
      <alignment vertical="top"/>
    </xf>
    <xf numFmtId="2" fontId="57" fillId="0" borderId="0" xfId="0" applyNumberFormat="1" applyFont="1" applyAlignment="1">
      <alignment vertical="top"/>
    </xf>
    <xf numFmtId="2" fontId="57" fillId="0" borderId="0" xfId="0" applyNumberFormat="1" applyFont="1" applyBorder="1" applyAlignment="1">
      <alignment vertical="top" readingOrder="1"/>
    </xf>
    <xf numFmtId="3" fontId="57" fillId="0" borderId="0" xfId="0" applyNumberFormat="1" applyFont="1" applyBorder="1" applyAlignment="1">
      <alignment vertical="top" readingOrder="1"/>
    </xf>
    <xf numFmtId="0" fontId="57" fillId="0" borderId="0" xfId="0" applyFont="1" applyBorder="1" applyAlignment="1">
      <alignment vertical="top"/>
    </xf>
    <xf numFmtId="37" fontId="57" fillId="0" borderId="0" xfId="1" applyNumberFormat="1" applyFont="1" applyAlignment="1">
      <alignment vertical="top"/>
    </xf>
    <xf numFmtId="3" fontId="57" fillId="0" borderId="0" xfId="0" applyNumberFormat="1" applyFont="1" applyFill="1" applyBorder="1" applyAlignment="1">
      <alignment vertical="top" readingOrder="1"/>
    </xf>
    <xf numFmtId="169" fontId="57" fillId="0" borderId="0" xfId="0" applyNumberFormat="1" applyFont="1" applyBorder="1" applyAlignment="1">
      <alignment horizontal="right"/>
    </xf>
    <xf numFmtId="169" fontId="57" fillId="0" borderId="0" xfId="0" applyNumberFormat="1" applyFont="1" applyBorder="1"/>
    <xf numFmtId="0" fontId="57" fillId="0" borderId="2" xfId="0" applyFont="1" applyBorder="1" applyAlignment="1"/>
    <xf numFmtId="169" fontId="57" fillId="0" borderId="1" xfId="0" applyNumberFormat="1" applyFont="1" applyBorder="1" applyAlignment="1">
      <alignment horizontal="right"/>
    </xf>
    <xf numFmtId="0" fontId="57" fillId="0" borderId="2" xfId="0" applyFont="1" applyFill="1" applyBorder="1" applyAlignment="1"/>
    <xf numFmtId="0" fontId="57" fillId="0" borderId="9" xfId="0" applyFont="1" applyBorder="1" applyAlignment="1">
      <alignment horizontal="center" vertical="center" wrapText="1"/>
    </xf>
    <xf numFmtId="3" fontId="89" fillId="0" borderId="0" xfId="0" applyNumberFormat="1" applyFont="1" applyFill="1" applyBorder="1" applyAlignment="1">
      <alignment horizontal="right"/>
    </xf>
    <xf numFmtId="0" fontId="57" fillId="0" borderId="0" xfId="0" applyFont="1" applyAlignment="1"/>
    <xf numFmtId="0" fontId="57" fillId="0" borderId="0" xfId="0" applyFont="1" applyFill="1" applyBorder="1"/>
    <xf numFmtId="0" fontId="86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wrapText="1"/>
    </xf>
    <xf numFmtId="3" fontId="57" fillId="0" borderId="4" xfId="1" applyNumberFormat="1" applyFont="1" applyBorder="1"/>
    <xf numFmtId="0" fontId="57" fillId="0" borderId="1" xfId="0" applyFont="1" applyBorder="1" applyAlignment="1">
      <alignment wrapText="1"/>
    </xf>
    <xf numFmtId="0" fontId="57" fillId="0" borderId="0" xfId="0" applyFont="1" applyBorder="1" applyAlignment="1"/>
    <xf numFmtId="0" fontId="57" fillId="0" borderId="4" xfId="0" applyFont="1" applyBorder="1" applyAlignment="1"/>
    <xf numFmtId="0" fontId="57" fillId="0" borderId="1" xfId="11" applyFont="1" applyBorder="1"/>
    <xf numFmtId="3" fontId="57" fillId="0" borderId="1" xfId="11" applyNumberFormat="1" applyFont="1" applyBorder="1"/>
    <xf numFmtId="3" fontId="57" fillId="0" borderId="0" xfId="11" applyNumberFormat="1" applyFont="1"/>
    <xf numFmtId="0" fontId="57" fillId="0" borderId="1" xfId="0" applyFont="1" applyBorder="1" applyAlignment="1">
      <alignment vertical="top"/>
    </xf>
    <xf numFmtId="0" fontId="57" fillId="0" borderId="1" xfId="0" applyFont="1" applyBorder="1" applyAlignment="1">
      <alignment horizontal="left" vertical="top"/>
    </xf>
    <xf numFmtId="3" fontId="92" fillId="0" borderId="0" xfId="0" applyNumberFormat="1" applyFont="1" applyBorder="1" applyAlignment="1">
      <alignment horizontal="right" vertical="center"/>
    </xf>
    <xf numFmtId="3" fontId="57" fillId="0" borderId="4" xfId="0" applyNumberFormat="1" applyFont="1" applyBorder="1" applyAlignment="1">
      <alignment horizontal="right"/>
    </xf>
    <xf numFmtId="0" fontId="92" fillId="0" borderId="0" xfId="0" applyFont="1" applyAlignment="1"/>
    <xf numFmtId="3" fontId="57" fillId="0" borderId="0" xfId="1" applyNumberFormat="1" applyFont="1" applyBorder="1" applyAlignment="1"/>
    <xf numFmtId="3" fontId="57" fillId="0" borderId="4" xfId="1" applyNumberFormat="1" applyFont="1" applyBorder="1" applyAlignment="1"/>
    <xf numFmtId="169" fontId="57" fillId="0" borderId="2" xfId="0" applyNumberFormat="1" applyFont="1" applyBorder="1" applyAlignment="1">
      <alignment horizontal="right"/>
    </xf>
    <xf numFmtId="169" fontId="57" fillId="0" borderId="2" xfId="0" applyNumberFormat="1" applyFont="1" applyBorder="1"/>
    <xf numFmtId="0" fontId="57" fillId="0" borderId="23" xfId="11" applyFont="1" applyBorder="1"/>
    <xf numFmtId="0" fontId="57" fillId="0" borderId="9" xfId="11" applyFont="1" applyBorder="1"/>
    <xf numFmtId="0" fontId="103" fillId="0" borderId="9" xfId="11" applyFont="1" applyBorder="1" applyAlignment="1">
      <alignment horizontal="center"/>
    </xf>
    <xf numFmtId="169" fontId="57" fillId="0" borderId="1" xfId="0" applyNumberFormat="1" applyFont="1" applyBorder="1" applyAlignment="1">
      <alignment vertical="top"/>
    </xf>
    <xf numFmtId="165" fontId="97" fillId="0" borderId="0" xfId="1" applyNumberFormat="1" applyFont="1" applyFill="1" applyAlignment="1"/>
    <xf numFmtId="165" fontId="57" fillId="0" borderId="0" xfId="1" applyNumberFormat="1" applyFont="1" applyAlignment="1"/>
    <xf numFmtId="169" fontId="92" fillId="0" borderId="0" xfId="0" applyNumberFormat="1" applyFont="1" applyBorder="1" applyAlignment="1">
      <alignment horizontal="right" vertical="center"/>
    </xf>
    <xf numFmtId="0" fontId="0" fillId="0" borderId="0" xfId="0"/>
    <xf numFmtId="17" fontId="57" fillId="0" borderId="10" xfId="0" quotePrefix="1" applyNumberFormat="1" applyFont="1" applyFill="1" applyBorder="1" applyAlignment="1">
      <alignment horizontal="center" vertical="center" wrapText="1"/>
    </xf>
    <xf numFmtId="3" fontId="57" fillId="0" borderId="23" xfId="0" applyNumberFormat="1" applyFont="1" applyBorder="1" applyAlignment="1">
      <alignment readingOrder="1"/>
    </xf>
    <xf numFmtId="0" fontId="57" fillId="0" borderId="1" xfId="0" applyFont="1" applyFill="1" applyBorder="1" applyAlignment="1">
      <alignment vertical="top"/>
    </xf>
    <xf numFmtId="169" fontId="57" fillId="0" borderId="0" xfId="0" applyNumberFormat="1" applyFont="1" applyBorder="1" applyAlignment="1">
      <alignment vertical="top"/>
    </xf>
    <xf numFmtId="0" fontId="57" fillId="0" borderId="0" xfId="0" applyFont="1" applyFill="1" applyBorder="1" applyAlignment="1">
      <alignment horizontal="center" wrapText="1"/>
    </xf>
    <xf numFmtId="0" fontId="57" fillId="0" borderId="0" xfId="0" quotePrefix="1" applyFont="1" applyAlignment="1"/>
    <xf numFmtId="0" fontId="43" fillId="0" borderId="9" xfId="0" applyFont="1" applyBorder="1" applyAlignment="1">
      <alignment horizontal="center" vertical="center" wrapText="1"/>
    </xf>
    <xf numFmtId="17" fontId="57" fillId="0" borderId="2" xfId="0" quotePrefix="1" applyNumberFormat="1" applyFont="1" applyBorder="1" applyAlignment="1">
      <alignment horizontal="center" vertical="center" wrapText="1"/>
    </xf>
    <xf numFmtId="17" fontId="57" fillId="0" borderId="0" xfId="0" quotePrefix="1" applyNumberFormat="1" applyFont="1" applyBorder="1" applyAlignment="1">
      <alignment horizontal="center" vertical="center" wrapText="1"/>
    </xf>
    <xf numFmtId="17" fontId="57" fillId="0" borderId="0" xfId="0" quotePrefix="1" applyNumberFormat="1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17" fontId="57" fillId="0" borderId="5" xfId="0" quotePrefix="1" applyNumberFormat="1" applyFont="1" applyBorder="1" applyAlignment="1">
      <alignment horizontal="center" vertical="center" wrapText="1"/>
    </xf>
    <xf numFmtId="17" fontId="57" fillId="0" borderId="6" xfId="0" quotePrefix="1" applyNumberFormat="1" applyFont="1" applyBorder="1" applyAlignment="1">
      <alignment horizontal="center" vertical="center" wrapText="1"/>
    </xf>
    <xf numFmtId="17" fontId="57" fillId="0" borderId="6" xfId="0" quotePrefix="1" applyNumberFormat="1" applyFont="1" applyFill="1" applyBorder="1" applyAlignment="1">
      <alignment horizontal="center" vertical="center" wrapText="1"/>
    </xf>
    <xf numFmtId="17" fontId="57" fillId="0" borderId="3" xfId="0" quotePrefix="1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vertical="center"/>
    </xf>
    <xf numFmtId="0" fontId="57" fillId="0" borderId="23" xfId="0" applyFont="1" applyBorder="1"/>
    <xf numFmtId="0" fontId="86" fillId="0" borderId="0" xfId="0" applyFont="1" applyFill="1" applyBorder="1" applyAlignment="1"/>
    <xf numFmtId="0" fontId="57" fillId="0" borderId="4" xfId="0" applyFont="1" applyBorder="1" applyAlignment="1">
      <alignment horizontal="right"/>
    </xf>
    <xf numFmtId="0" fontId="89" fillId="0" borderId="2" xfId="0" applyFont="1" applyBorder="1" applyAlignment="1">
      <alignment horizontal="right"/>
    </xf>
    <xf numFmtId="0" fontId="89" fillId="0" borderId="0" xfId="0" applyFont="1" applyFill="1" applyBorder="1" applyAlignment="1">
      <alignment horizontal="right"/>
    </xf>
    <xf numFmtId="169" fontId="89" fillId="0" borderId="1" xfId="0" applyNumberFormat="1" applyFont="1" applyBorder="1" applyAlignment="1">
      <alignment horizontal="right"/>
    </xf>
    <xf numFmtId="169" fontId="57" fillId="0" borderId="23" xfId="0" applyNumberFormat="1" applyFont="1" applyBorder="1" applyAlignment="1">
      <alignment horizontal="right"/>
    </xf>
    <xf numFmtId="0" fontId="43" fillId="0" borderId="0" xfId="78"/>
    <xf numFmtId="0" fontId="57" fillId="0" borderId="0" xfId="78" applyFont="1"/>
    <xf numFmtId="3" fontId="57" fillId="0" borderId="0" xfId="78" applyNumberFormat="1" applyFont="1"/>
    <xf numFmtId="0" fontId="57" fillId="0" borderId="0" xfId="0" applyFont="1" applyFill="1"/>
    <xf numFmtId="0" fontId="57" fillId="0" borderId="0" xfId="0" applyFont="1" applyFill="1" applyAlignment="1"/>
    <xf numFmtId="0" fontId="47" fillId="0" borderId="0" xfId="0" applyFont="1" applyBorder="1" applyAlignment="1">
      <alignment horizontal="left" vertical="center"/>
    </xf>
    <xf numFmtId="0" fontId="82" fillId="0" borderId="0" xfId="0" applyFont="1" applyBorder="1" applyAlignment="1">
      <alignment vertical="center"/>
    </xf>
    <xf numFmtId="0" fontId="43" fillId="0" borderId="0" xfId="78" applyAlignment="1">
      <alignment vertical="center"/>
    </xf>
    <xf numFmtId="0" fontId="57" fillId="0" borderId="0" xfId="0" applyFont="1" applyAlignment="1">
      <alignment vertical="center"/>
    </xf>
    <xf numFmtId="0" fontId="89" fillId="0" borderId="4" xfId="0" applyFont="1" applyBorder="1" applyAlignment="1"/>
    <xf numFmtId="3" fontId="57" fillId="0" borderId="27" xfId="0" applyNumberFormat="1" applyFont="1" applyBorder="1" applyAlignment="1">
      <alignment horizontal="right"/>
    </xf>
    <xf numFmtId="3" fontId="57" fillId="0" borderId="28" xfId="0" applyNumberFormat="1" applyFont="1" applyBorder="1" applyAlignment="1">
      <alignment horizontal="right"/>
    </xf>
    <xf numFmtId="0" fontId="105" fillId="0" borderId="7" xfId="73" applyFont="1" applyBorder="1" applyAlignment="1">
      <alignment vertical="center"/>
    </xf>
    <xf numFmtId="0" fontId="105" fillId="0" borderId="0" xfId="73" applyFont="1"/>
    <xf numFmtId="0" fontId="0" fillId="0" borderId="9" xfId="0" applyBorder="1" applyAlignment="1">
      <alignment vertical="center"/>
    </xf>
    <xf numFmtId="0" fontId="57" fillId="0" borderId="0" xfId="0" applyFont="1" applyFill="1" applyBorder="1" applyAlignment="1">
      <alignment horizontal="left" wrapText="1"/>
    </xf>
    <xf numFmtId="169" fontId="57" fillId="0" borderId="2" xfId="0" applyNumberFormat="1" applyFont="1" applyBorder="1" applyAlignment="1">
      <alignment readingOrder="1"/>
    </xf>
    <xf numFmtId="169" fontId="57" fillId="0" borderId="0" xfId="0" applyNumberFormat="1" applyFont="1" applyBorder="1" applyAlignment="1">
      <alignment readingOrder="1"/>
    </xf>
    <xf numFmtId="169" fontId="57" fillId="0" borderId="0" xfId="1" applyNumberFormat="1" applyFont="1" applyAlignment="1"/>
    <xf numFmtId="3" fontId="57" fillId="0" borderId="1" xfId="0" applyNumberFormat="1" applyFont="1" applyBorder="1" applyAlignment="1">
      <alignment horizontal="right" readingOrder="1"/>
    </xf>
    <xf numFmtId="3" fontId="57" fillId="0" borderId="0" xfId="0" applyNumberFormat="1" applyFont="1" applyAlignment="1">
      <alignment horizontal="right" readingOrder="1"/>
    </xf>
    <xf numFmtId="9" fontId="57" fillId="0" borderId="1" xfId="0" applyNumberFormat="1" applyFont="1" applyBorder="1" applyAlignment="1">
      <alignment horizontal="right" readingOrder="1"/>
    </xf>
    <xf numFmtId="169" fontId="57" fillId="0" borderId="2" xfId="0" applyNumberFormat="1" applyFont="1" applyFill="1" applyBorder="1" applyAlignment="1">
      <alignment readingOrder="1"/>
    </xf>
    <xf numFmtId="169" fontId="57" fillId="0" borderId="0" xfId="1" applyNumberFormat="1" applyFont="1" applyFill="1" applyAlignment="1"/>
    <xf numFmtId="169" fontId="57" fillId="0" borderId="0" xfId="1" applyNumberFormat="1" applyFont="1" applyFill="1" applyBorder="1" applyAlignment="1">
      <alignment readingOrder="1"/>
    </xf>
    <xf numFmtId="169" fontId="57" fillId="0" borderId="0" xfId="0" applyNumberFormat="1" applyFont="1" applyFill="1" applyAlignment="1">
      <alignment horizontal="right"/>
    </xf>
    <xf numFmtId="9" fontId="57" fillId="0" borderId="1" xfId="0" applyNumberFormat="1" applyFont="1" applyFill="1" applyBorder="1" applyAlignment="1">
      <alignment readingOrder="1"/>
    </xf>
    <xf numFmtId="0" fontId="0" fillId="0" borderId="0" xfId="0" applyFill="1" applyAlignment="1"/>
    <xf numFmtId="0" fontId="57" fillId="0" borderId="1" xfId="0" applyFont="1" applyFill="1" applyBorder="1" applyAlignment="1"/>
    <xf numFmtId="169" fontId="57" fillId="0" borderId="0" xfId="0" applyNumberFormat="1" applyFont="1" applyFill="1" applyBorder="1" applyAlignment="1">
      <alignment readingOrder="1"/>
    </xf>
    <xf numFmtId="165" fontId="57" fillId="0" borderId="0" xfId="0" applyNumberFormat="1" applyFont="1" applyFill="1" applyAlignment="1"/>
    <xf numFmtId="0" fontId="89" fillId="0" borderId="9" xfId="11" applyFont="1" applyBorder="1" applyAlignment="1">
      <alignment horizontal="center" vertical="center" wrapText="1"/>
    </xf>
    <xf numFmtId="0" fontId="98" fillId="0" borderId="9" xfId="11" applyFont="1" applyBorder="1" applyAlignment="1">
      <alignment horizontal="center" vertical="center" wrapText="1"/>
    </xf>
    <xf numFmtId="0" fontId="57" fillId="0" borderId="1" xfId="78" applyFont="1" applyBorder="1"/>
    <xf numFmtId="0" fontId="108" fillId="0" borderId="9" xfId="73" applyFont="1" applyBorder="1" applyAlignment="1">
      <alignment horizontal="center" vertical="center" wrapText="1"/>
    </xf>
    <xf numFmtId="0" fontId="57" fillId="0" borderId="1" xfId="0" applyFont="1" applyBorder="1" applyAlignment="1">
      <alignment horizontal="right" vertical="top"/>
    </xf>
    <xf numFmtId="169" fontId="57" fillId="0" borderId="22" xfId="0" applyNumberFormat="1" applyFont="1" applyBorder="1" applyAlignment="1">
      <alignment horizontal="right"/>
    </xf>
    <xf numFmtId="169" fontId="57" fillId="0" borderId="28" xfId="0" applyNumberFormat="1" applyFont="1" applyBorder="1" applyAlignment="1">
      <alignment horizontal="right"/>
    </xf>
    <xf numFmtId="0" fontId="5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17" fontId="57" fillId="0" borderId="4" xfId="0" quotePrefix="1" applyNumberFormat="1" applyFont="1" applyBorder="1" applyAlignment="1">
      <alignment horizontal="center" vertical="center" wrapText="1"/>
    </xf>
    <xf numFmtId="0" fontId="57" fillId="0" borderId="9" xfId="0" applyFont="1" applyBorder="1"/>
    <xf numFmtId="0" fontId="57" fillId="0" borderId="9" xfId="0" applyFont="1" applyBorder="1" applyAlignment="1">
      <alignment vertical="center"/>
    </xf>
    <xf numFmtId="0" fontId="43" fillId="0" borderId="9" xfId="0" applyFont="1" applyBorder="1" applyAlignment="1">
      <alignment horizontal="center" vertical="center"/>
    </xf>
    <xf numFmtId="0" fontId="57" fillId="0" borderId="0" xfId="0" applyFont="1" applyAlignment="1">
      <alignment horizontal="center" vertical="top"/>
    </xf>
    <xf numFmtId="3" fontId="57" fillId="0" borderId="0" xfId="0" applyNumberFormat="1" applyFont="1" applyAlignment="1">
      <alignment horizontal="right"/>
    </xf>
    <xf numFmtId="0" fontId="47" fillId="0" borderId="0" xfId="0" applyFont="1" applyAlignment="1">
      <alignment vertical="center"/>
    </xf>
    <xf numFmtId="0" fontId="86" fillId="0" borderId="21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86" fillId="0" borderId="24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left" vertical="top" wrapText="1"/>
    </xf>
    <xf numFmtId="0" fontId="57" fillId="0" borderId="25" xfId="0" applyFont="1" applyBorder="1" applyAlignment="1">
      <alignment horizontal="left" vertical="top" wrapText="1"/>
    </xf>
    <xf numFmtId="169" fontId="57" fillId="0" borderId="25" xfId="0" applyNumberFormat="1" applyFont="1" applyBorder="1" applyAlignment="1">
      <alignment horizontal="right" vertical="top" wrapText="1"/>
    </xf>
    <xf numFmtId="3" fontId="57" fillId="0" borderId="25" xfId="0" applyNumberFormat="1" applyFont="1" applyBorder="1" applyAlignment="1">
      <alignment vertical="top"/>
    </xf>
    <xf numFmtId="0" fontId="53" fillId="0" borderId="0" xfId="0" applyFont="1" applyAlignment="1">
      <alignment horizontal="left" vertical="center" wrapText="1"/>
    </xf>
    <xf numFmtId="0" fontId="57" fillId="0" borderId="25" xfId="0" applyFont="1" applyBorder="1" applyAlignment="1">
      <alignment vertical="top"/>
    </xf>
    <xf numFmtId="0" fontId="86" fillId="0" borderId="26" xfId="0" applyFont="1" applyBorder="1" applyAlignment="1">
      <alignment horizontal="left" vertical="top" wrapText="1"/>
    </xf>
    <xf numFmtId="169" fontId="86" fillId="0" borderId="26" xfId="0" applyNumberFormat="1" applyFont="1" applyBorder="1" applyAlignment="1">
      <alignment horizontal="right" vertical="top" wrapText="1"/>
    </xf>
    <xf numFmtId="0" fontId="98" fillId="0" borderId="9" xfId="78" applyFont="1" applyBorder="1" applyAlignment="1">
      <alignment horizontal="center" vertical="center"/>
    </xf>
    <xf numFmtId="0" fontId="94" fillId="0" borderId="9" xfId="78" applyFont="1" applyBorder="1" applyAlignment="1">
      <alignment horizontal="center" vertical="center"/>
    </xf>
    <xf numFmtId="0" fontId="89" fillId="0" borderId="9" xfId="7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7" fillId="0" borderId="9" xfId="0" applyFont="1" applyBorder="1" applyAlignment="1">
      <alignment horizontal="left" vertical="top"/>
    </xf>
    <xf numFmtId="0" fontId="46" fillId="0" borderId="8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top"/>
    </xf>
    <xf numFmtId="169" fontId="46" fillId="0" borderId="6" xfId="0" applyNumberFormat="1" applyFont="1" applyBorder="1" applyAlignment="1">
      <alignment horizontal="center" vertical="top"/>
    </xf>
    <xf numFmtId="169" fontId="46" fillId="0" borderId="7" xfId="0" applyNumberFormat="1" applyFont="1" applyBorder="1" applyAlignment="1">
      <alignment horizontal="center" vertical="top"/>
    </xf>
    <xf numFmtId="169" fontId="46" fillId="0" borderId="3" xfId="0" applyNumberFormat="1" applyFont="1" applyBorder="1" applyAlignment="1">
      <alignment horizontal="center" vertical="top"/>
    </xf>
    <xf numFmtId="169" fontId="86" fillId="0" borderId="1" xfId="1" applyNumberFormat="1" applyFont="1" applyBorder="1" applyAlignment="1">
      <alignment horizontal="right" vertical="top"/>
    </xf>
    <xf numFmtId="169" fontId="86" fillId="0" borderId="2" xfId="1" applyNumberFormat="1" applyFont="1" applyBorder="1" applyAlignment="1">
      <alignment horizontal="right" vertical="top"/>
    </xf>
    <xf numFmtId="169" fontId="86" fillId="0" borderId="1" xfId="0" applyNumberFormat="1" applyFont="1" applyBorder="1" applyAlignment="1">
      <alignment horizontal="right" vertical="top"/>
    </xf>
    <xf numFmtId="169" fontId="86" fillId="0" borderId="2" xfId="0" applyNumberFormat="1" applyFont="1" applyBorder="1" applyAlignment="1">
      <alignment horizontal="right" vertical="top"/>
    </xf>
    <xf numFmtId="169" fontId="86" fillId="0" borderId="0" xfId="0" applyNumberFormat="1" applyFont="1" applyBorder="1" applyAlignment="1">
      <alignment horizontal="right" vertical="top"/>
    </xf>
    <xf numFmtId="169" fontId="57" fillId="0" borderId="2" xfId="10" applyNumberFormat="1" applyFont="1" applyBorder="1" applyAlignment="1" applyProtection="1">
      <alignment vertical="top"/>
    </xf>
    <xf numFmtId="169" fontId="57" fillId="0" borderId="2" xfId="1" applyNumberFormat="1" applyFont="1" applyBorder="1" applyAlignment="1">
      <alignment vertical="top"/>
    </xf>
    <xf numFmtId="169" fontId="57" fillId="0" borderId="1" xfId="78" applyNumberFormat="1" applyFont="1" applyBorder="1" applyAlignment="1">
      <alignment vertical="top"/>
    </xf>
    <xf numFmtId="169" fontId="57" fillId="0" borderId="0" xfId="0" applyNumberFormat="1" applyFont="1" applyBorder="1" applyAlignment="1">
      <alignment horizontal="right" vertical="top"/>
    </xf>
    <xf numFmtId="169" fontId="57" fillId="0" borderId="0" xfId="1" applyNumberFormat="1" applyFont="1" applyBorder="1" applyAlignment="1">
      <alignment horizontal="right" vertical="top"/>
    </xf>
    <xf numFmtId="169" fontId="57" fillId="0" borderId="0" xfId="10" applyNumberFormat="1" applyFont="1" applyBorder="1" applyAlignment="1" applyProtection="1">
      <alignment vertical="top"/>
    </xf>
    <xf numFmtId="169" fontId="57" fillId="0" borderId="1" xfId="10" applyNumberFormat="1" applyFont="1" applyBorder="1" applyAlignment="1" applyProtection="1">
      <alignment vertical="top"/>
    </xf>
    <xf numFmtId="0" fontId="57" fillId="0" borderId="2" xfId="0" applyFont="1" applyBorder="1" applyAlignment="1">
      <alignment vertical="top"/>
    </xf>
    <xf numFmtId="0" fontId="57" fillId="0" borderId="1" xfId="0" applyFont="1" applyFill="1" applyBorder="1" applyAlignment="1">
      <alignment horizontal="left" vertical="top"/>
    </xf>
    <xf numFmtId="169" fontId="86" fillId="0" borderId="1" xfId="10" applyNumberFormat="1" applyFont="1" applyBorder="1" applyAlignment="1" applyProtection="1">
      <alignment vertical="top"/>
    </xf>
    <xf numFmtId="169" fontId="86" fillId="0" borderId="2" xfId="1" applyNumberFormat="1" applyFont="1" applyBorder="1" applyAlignment="1">
      <alignment vertical="top"/>
    </xf>
    <xf numFmtId="169" fontId="86" fillId="0" borderId="0" xfId="0" applyNumberFormat="1" applyFont="1" applyBorder="1" applyAlignment="1">
      <alignment vertical="top"/>
    </xf>
    <xf numFmtId="169" fontId="86" fillId="0" borderId="1" xfId="0" applyNumberFormat="1" applyFont="1" applyBorder="1" applyAlignment="1">
      <alignment vertical="top"/>
    </xf>
    <xf numFmtId="169" fontId="86" fillId="0" borderId="0" xfId="1" applyNumberFormat="1" applyFont="1" applyBorder="1" applyAlignment="1">
      <alignment horizontal="right" vertical="top"/>
    </xf>
    <xf numFmtId="169" fontId="86" fillId="0" borderId="0" xfId="10" applyNumberFormat="1" applyFont="1" applyBorder="1" applyAlignment="1" applyProtection="1">
      <alignment vertical="top"/>
    </xf>
    <xf numFmtId="0" fontId="57" fillId="0" borderId="2" xfId="0" applyFont="1" applyBorder="1" applyAlignment="1">
      <alignment horizontal="left" vertical="top"/>
    </xf>
    <xf numFmtId="169" fontId="57" fillId="0" borderId="1" xfId="0" applyNumberFormat="1" applyFont="1" applyBorder="1" applyAlignment="1">
      <alignment horizontal="right" vertical="top"/>
    </xf>
    <xf numFmtId="3" fontId="86" fillId="0" borderId="2" xfId="0" applyNumberFormat="1" applyFont="1" applyBorder="1" applyAlignment="1">
      <alignment vertical="top"/>
    </xf>
    <xf numFmtId="169" fontId="57" fillId="0" borderId="2" xfId="0" applyNumberFormat="1" applyFont="1" applyBorder="1" applyAlignment="1">
      <alignment horizontal="right" vertical="top"/>
    </xf>
    <xf numFmtId="3" fontId="57" fillId="0" borderId="0" xfId="0" applyNumberFormat="1" applyFont="1" applyBorder="1" applyAlignment="1">
      <alignment horizontal="right" vertical="top"/>
    </xf>
    <xf numFmtId="169" fontId="86" fillId="0" borderId="2" xfId="0" applyNumberFormat="1" applyFont="1" applyBorder="1" applyAlignment="1">
      <alignment vertical="top"/>
    </xf>
    <xf numFmtId="169" fontId="86" fillId="0" borderId="22" xfId="0" applyNumberFormat="1" applyFont="1" applyFill="1" applyBorder="1" applyAlignment="1">
      <alignment vertical="top"/>
    </xf>
    <xf numFmtId="169" fontId="86" fillId="0" borderId="23" xfId="0" applyNumberFormat="1" applyFont="1" applyBorder="1" applyAlignment="1">
      <alignment horizontal="right" vertical="top"/>
    </xf>
    <xf numFmtId="169" fontId="86" fillId="0" borderId="22" xfId="0" applyNumberFormat="1" applyFont="1" applyBorder="1" applyAlignment="1">
      <alignment horizontal="right" vertical="top"/>
    </xf>
    <xf numFmtId="169" fontId="86" fillId="0" borderId="28" xfId="0" applyNumberFormat="1" applyFont="1" applyBorder="1" applyAlignment="1">
      <alignment horizontal="right" vertical="top"/>
    </xf>
    <xf numFmtId="3" fontId="57" fillId="0" borderId="1" xfId="1" applyNumberFormat="1" applyFont="1" applyBorder="1"/>
    <xf numFmtId="0" fontId="43" fillId="0" borderId="9" xfId="0" applyFont="1" applyBorder="1" applyAlignment="1">
      <alignment horizontal="right" vertical="top"/>
    </xf>
    <xf numFmtId="0" fontId="47" fillId="0" borderId="5" xfId="0" applyFont="1" applyBorder="1" applyAlignment="1">
      <alignment horizontal="left" vertical="top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89" fillId="0" borderId="2" xfId="0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91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165" fontId="57" fillId="0" borderId="2" xfId="0" applyNumberFormat="1" applyFont="1" applyBorder="1" applyAlignment="1">
      <alignment vertical="center"/>
    </xf>
    <xf numFmtId="165" fontId="84" fillId="0" borderId="4" xfId="0" applyNumberFormat="1" applyFont="1" applyBorder="1" applyAlignment="1">
      <alignment vertical="center"/>
    </xf>
    <xf numFmtId="165" fontId="84" fillId="0" borderId="1" xfId="0" applyNumberFormat="1" applyFont="1" applyBorder="1" applyAlignment="1">
      <alignment vertical="center"/>
    </xf>
    <xf numFmtId="3" fontId="57" fillId="0" borderId="2" xfId="1" quotePrefix="1" applyNumberFormat="1" applyFont="1" applyFill="1" applyBorder="1" applyAlignment="1">
      <alignment vertical="center" readingOrder="2"/>
    </xf>
    <xf numFmtId="3" fontId="57" fillId="0" borderId="0" xfId="1" quotePrefix="1" applyNumberFormat="1" applyFont="1" applyFill="1" applyBorder="1" applyAlignment="1">
      <alignment vertical="center" readingOrder="2"/>
    </xf>
    <xf numFmtId="3" fontId="57" fillId="0" borderId="2" xfId="1" applyNumberFormat="1" applyFont="1" applyBorder="1" applyAlignment="1">
      <alignment horizontal="right" vertical="center" readingOrder="2"/>
    </xf>
    <xf numFmtId="3" fontId="84" fillId="0" borderId="0" xfId="1" applyNumberFormat="1" applyFont="1" applyFill="1" applyBorder="1" applyAlignment="1">
      <alignment horizontal="right" vertical="center" readingOrder="2"/>
    </xf>
    <xf numFmtId="9" fontId="92" fillId="0" borderId="1" xfId="14" applyFont="1" applyFill="1" applyBorder="1" applyAlignment="1">
      <alignment horizontal="right" vertical="center" readingOrder="2"/>
    </xf>
    <xf numFmtId="3" fontId="57" fillId="0" borderId="2" xfId="1" applyNumberFormat="1" applyFont="1" applyFill="1" applyBorder="1" applyAlignment="1">
      <alignment horizontal="right" vertical="center" readingOrder="2"/>
    </xf>
    <xf numFmtId="169" fontId="57" fillId="0" borderId="0" xfId="0" applyNumberFormat="1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84" fillId="0" borderId="4" xfId="1" applyNumberFormat="1" applyFont="1" applyFill="1" applyBorder="1" applyAlignment="1">
      <alignment horizontal="right" vertical="center" readingOrder="2"/>
    </xf>
    <xf numFmtId="169" fontId="57" fillId="0" borderId="0" xfId="1" quotePrefix="1" applyNumberFormat="1" applyFont="1" applyFill="1" applyBorder="1" applyAlignment="1">
      <alignment vertical="center"/>
    </xf>
    <xf numFmtId="3" fontId="57" fillId="0" borderId="0" xfId="1" quotePrefix="1" applyNumberFormat="1" applyFont="1" applyFill="1" applyBorder="1" applyAlignment="1">
      <alignment horizontal="right" vertical="center" readingOrder="2"/>
    </xf>
    <xf numFmtId="0" fontId="57" fillId="0" borderId="2" xfId="0" applyFont="1" applyFill="1" applyBorder="1" applyAlignment="1">
      <alignment vertical="center"/>
    </xf>
    <xf numFmtId="9" fontId="92" fillId="0" borderId="1" xfId="14" applyNumberFormat="1" applyFont="1" applyFill="1" applyBorder="1" applyAlignment="1">
      <alignment horizontal="right" vertical="center" readingOrder="2"/>
    </xf>
    <xf numFmtId="3" fontId="57" fillId="0" borderId="0" xfId="0" applyNumberFormat="1" applyFont="1" applyBorder="1" applyAlignment="1">
      <alignment vertical="center"/>
    </xf>
    <xf numFmtId="3" fontId="84" fillId="0" borderId="4" xfId="1" applyNumberFormat="1" applyFont="1" applyBorder="1" applyAlignment="1">
      <alignment horizontal="right" vertical="center" readingOrder="2"/>
    </xf>
    <xf numFmtId="9" fontId="92" fillId="0" borderId="1" xfId="14" applyFont="1" applyBorder="1" applyAlignment="1">
      <alignment horizontal="right" vertical="center" readingOrder="2"/>
    </xf>
    <xf numFmtId="0" fontId="57" fillId="0" borderId="2" xfId="0" applyFont="1" applyBorder="1" applyAlignment="1">
      <alignment horizontal="left" vertical="center"/>
    </xf>
    <xf numFmtId="0" fontId="57" fillId="0" borderId="2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 wrapText="1"/>
    </xf>
    <xf numFmtId="9" fontId="92" fillId="0" borderId="1" xfId="14" applyNumberFormat="1" applyFont="1" applyBorder="1" applyAlignment="1">
      <alignment horizontal="right" vertical="center" readingOrder="2"/>
    </xf>
    <xf numFmtId="165" fontId="57" fillId="0" borderId="0" xfId="1" applyNumberFormat="1" applyFont="1" applyAlignment="1">
      <alignment vertical="center"/>
    </xf>
    <xf numFmtId="3" fontId="84" fillId="0" borderId="0" xfId="0" applyNumberFormat="1" applyFont="1" applyAlignment="1">
      <alignment vertical="center"/>
    </xf>
    <xf numFmtId="3" fontId="57" fillId="0" borderId="0" xfId="0" applyNumberFormat="1" applyFont="1" applyBorder="1" applyAlignment="1">
      <alignment horizontal="right" vertical="center" readingOrder="2"/>
    </xf>
    <xf numFmtId="4" fontId="84" fillId="0" borderId="0" xfId="0" applyNumberFormat="1" applyFont="1" applyBorder="1" applyAlignment="1">
      <alignment horizontal="right" vertical="center" readingOrder="2"/>
    </xf>
    <xf numFmtId="173" fontId="57" fillId="0" borderId="0" xfId="0" applyNumberFormat="1" applyFont="1" applyBorder="1" applyAlignment="1">
      <alignment horizontal="right" vertical="center" readingOrder="2"/>
    </xf>
    <xf numFmtId="171" fontId="57" fillId="0" borderId="0" xfId="0" applyNumberFormat="1" applyFont="1" applyBorder="1" applyAlignment="1">
      <alignment vertical="center"/>
    </xf>
    <xf numFmtId="170" fontId="57" fillId="0" borderId="0" xfId="0" applyNumberFormat="1" applyFont="1" applyAlignment="1">
      <alignment vertical="center"/>
    </xf>
    <xf numFmtId="0" fontId="84" fillId="0" borderId="0" xfId="0" applyFont="1" applyAlignment="1">
      <alignment vertical="center"/>
    </xf>
    <xf numFmtId="0" fontId="57" fillId="0" borderId="2" xfId="78" applyFont="1" applyFill="1" applyBorder="1" applyAlignment="1">
      <alignment horizontal="left" vertical="top" indent="1"/>
    </xf>
    <xf numFmtId="0" fontId="57" fillId="0" borderId="1" xfId="0" applyFont="1" applyBorder="1" applyAlignment="1">
      <alignment horizontal="left" vertical="top" indent="1"/>
    </xf>
    <xf numFmtId="0" fontId="57" fillId="0" borderId="1" xfId="0" applyFont="1" applyFill="1" applyBorder="1" applyAlignment="1">
      <alignment horizontal="left" vertical="top" indent="1"/>
    </xf>
    <xf numFmtId="0" fontId="57" fillId="0" borderId="2" xfId="0" applyFont="1" applyBorder="1" applyAlignment="1">
      <alignment horizontal="left" vertical="top" indent="1"/>
    </xf>
    <xf numFmtId="3" fontId="57" fillId="0" borderId="28" xfId="1" quotePrefix="1" applyNumberFormat="1" applyFont="1" applyFill="1" applyBorder="1" applyAlignment="1">
      <alignment vertical="center" readingOrder="2"/>
    </xf>
    <xf numFmtId="169" fontId="57" fillId="0" borderId="28" xfId="0" applyNumberFormat="1" applyFont="1" applyBorder="1" applyAlignment="1">
      <alignment readingOrder="1"/>
    </xf>
    <xf numFmtId="169" fontId="86" fillId="0" borderId="28" xfId="0" applyNumberFormat="1" applyFont="1" applyFill="1" applyBorder="1" applyAlignment="1">
      <alignment vertical="top"/>
    </xf>
    <xf numFmtId="174" fontId="44" fillId="0" borderId="0" xfId="1951" applyNumberFormat="1" applyFont="1"/>
    <xf numFmtId="3" fontId="105" fillId="0" borderId="21" xfId="0" applyNumberFormat="1" applyFont="1" applyBorder="1" applyAlignment="1">
      <alignment horizontal="right" wrapText="1"/>
    </xf>
    <xf numFmtId="3" fontId="105" fillId="0" borderId="21" xfId="0" applyNumberFormat="1" applyFont="1" applyFill="1" applyBorder="1" applyAlignment="1">
      <alignment horizontal="right" wrapText="1"/>
    </xf>
    <xf numFmtId="0" fontId="47" fillId="0" borderId="7" xfId="0" applyFont="1" applyBorder="1" applyAlignment="1">
      <alignment horizontal="left" vertical="center"/>
    </xf>
    <xf numFmtId="0" fontId="47" fillId="0" borderId="23" xfId="0" applyFont="1" applyBorder="1" applyAlignment="1">
      <alignment horizontal="left" vertical="center"/>
    </xf>
    <xf numFmtId="17" fontId="57" fillId="0" borderId="10" xfId="0" quotePrefix="1" applyNumberFormat="1" applyFont="1" applyBorder="1" applyAlignment="1">
      <alignment horizontal="right" vertical="center"/>
    </xf>
    <xf numFmtId="17" fontId="57" fillId="0" borderId="11" xfId="0" quotePrefix="1" applyNumberFormat="1" applyFont="1" applyBorder="1" applyAlignment="1">
      <alignment horizontal="right" vertical="center"/>
    </xf>
    <xf numFmtId="0" fontId="47" fillId="0" borderId="1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9" fontId="57" fillId="0" borderId="1" xfId="14" applyFont="1" applyBorder="1" applyAlignment="1">
      <alignment horizontal="right" vertical="center"/>
    </xf>
    <xf numFmtId="9" fontId="57" fillId="0" borderId="23" xfId="14" applyFont="1" applyBorder="1" applyAlignment="1">
      <alignment horizontal="right" vertical="center"/>
    </xf>
    <xf numFmtId="0" fontId="57" fillId="0" borderId="1" xfId="0" applyFont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0" fontId="86" fillId="0" borderId="1" xfId="0" applyFont="1" applyBorder="1" applyAlignment="1">
      <alignment horizontal="right" vertical="center"/>
    </xf>
    <xf numFmtId="3" fontId="57" fillId="0" borderId="23" xfId="0" applyNumberFormat="1" applyFont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top" readingOrder="1"/>
    </xf>
    <xf numFmtId="3" fontId="57" fillId="0" borderId="0" xfId="0" applyNumberFormat="1" applyFont="1" applyAlignment="1">
      <alignment horizontal="right" vertical="top" readingOrder="1"/>
    </xf>
    <xf numFmtId="9" fontId="57" fillId="0" borderId="1" xfId="0" applyNumberFormat="1" applyFont="1" applyBorder="1" applyAlignment="1">
      <alignment horizontal="right" vertical="top" readingOrder="1"/>
    </xf>
    <xf numFmtId="3" fontId="57" fillId="0" borderId="1" xfId="0" applyNumberFormat="1" applyFont="1" applyFill="1" applyBorder="1" applyAlignment="1">
      <alignment horizontal="right" vertical="top" readingOrder="1"/>
    </xf>
    <xf numFmtId="165" fontId="57" fillId="0" borderId="0" xfId="0" applyNumberFormat="1" applyFont="1" applyFill="1" applyAlignment="1">
      <alignment horizontal="right" vertical="top"/>
    </xf>
    <xf numFmtId="3" fontId="57" fillId="0" borderId="23" xfId="0" applyNumberFormat="1" applyFont="1" applyBorder="1" applyAlignment="1">
      <alignment horizontal="right" vertical="top" readingOrder="1"/>
    </xf>
    <xf numFmtId="0" fontId="44" fillId="0" borderId="9" xfId="0" applyFont="1" applyBorder="1" applyAlignment="1">
      <alignment vertical="top"/>
    </xf>
    <xf numFmtId="0" fontId="43" fillId="0" borderId="9" xfId="0" applyFont="1" applyBorder="1" applyAlignment="1">
      <alignment horizontal="center" vertical="top" wrapText="1"/>
    </xf>
    <xf numFmtId="0" fontId="89" fillId="0" borderId="7" xfId="0" applyFont="1" applyBorder="1" applyAlignment="1">
      <alignment vertical="top"/>
    </xf>
    <xf numFmtId="0" fontId="89" fillId="0" borderId="2" xfId="0" applyFont="1" applyBorder="1" applyAlignment="1">
      <alignment horizontal="center" vertical="top"/>
    </xf>
    <xf numFmtId="0" fontId="89" fillId="0" borderId="0" xfId="0" applyFont="1" applyBorder="1" applyAlignment="1">
      <alignment horizontal="center" vertical="top"/>
    </xf>
    <xf numFmtId="14" fontId="89" fillId="0" borderId="0" xfId="0" quotePrefix="1" applyNumberFormat="1" applyFont="1" applyBorder="1" applyAlignment="1">
      <alignment horizontal="center" vertical="top"/>
    </xf>
    <xf numFmtId="0" fontId="57" fillId="0" borderId="0" xfId="0" applyFont="1" applyFill="1" applyBorder="1" applyAlignment="1">
      <alignment vertical="top"/>
    </xf>
    <xf numFmtId="0" fontId="57" fillId="0" borderId="4" xfId="0" applyFont="1" applyBorder="1" applyAlignment="1">
      <alignment vertical="top"/>
    </xf>
    <xf numFmtId="0" fontId="57" fillId="0" borderId="7" xfId="0" applyFont="1" applyBorder="1" applyAlignment="1">
      <alignment horizontal="center" vertical="top"/>
    </xf>
    <xf numFmtId="0" fontId="57" fillId="0" borderId="4" xfId="0" applyFont="1" applyBorder="1" applyAlignment="1">
      <alignment horizontal="center" vertical="top"/>
    </xf>
    <xf numFmtId="0" fontId="89" fillId="0" borderId="1" xfId="0" applyFont="1" applyBorder="1" applyAlignment="1">
      <alignment horizontal="center" vertical="top"/>
    </xf>
    <xf numFmtId="0" fontId="89" fillId="0" borderId="4" xfId="0" applyFont="1" applyBorder="1" applyAlignment="1">
      <alignment horizontal="center" vertical="top"/>
    </xf>
    <xf numFmtId="0" fontId="89" fillId="0" borderId="0" xfId="0" applyFont="1" applyBorder="1" applyAlignment="1">
      <alignment vertical="top"/>
    </xf>
    <xf numFmtId="3" fontId="57" fillId="0" borderId="4" xfId="10" applyNumberFormat="1" applyFont="1" applyBorder="1" applyAlignment="1" applyProtection="1">
      <alignment horizontal="right" vertical="top"/>
    </xf>
    <xf numFmtId="3" fontId="57" fillId="0" borderId="4" xfId="10" applyNumberFormat="1" applyFont="1" applyFill="1" applyBorder="1" applyAlignment="1" applyProtection="1">
      <alignment horizontal="right" vertical="top"/>
    </xf>
    <xf numFmtId="166" fontId="43" fillId="0" borderId="9" xfId="0" applyNumberFormat="1" applyFont="1" applyBorder="1" applyAlignment="1">
      <alignment horizontal="center" vertical="center" wrapText="1"/>
    </xf>
    <xf numFmtId="0" fontId="57" fillId="0" borderId="28" xfId="0" applyFont="1" applyBorder="1" applyAlignment="1">
      <alignment horizontal="right" vertical="center"/>
    </xf>
    <xf numFmtId="3" fontId="57" fillId="0" borderId="2" xfId="0" applyNumberFormat="1" applyFont="1" applyBorder="1" applyAlignment="1">
      <alignment horizontal="right" vertical="top" readingOrder="1"/>
    </xf>
    <xf numFmtId="3" fontId="57" fillId="0" borderId="0" xfId="0" applyNumberFormat="1" applyFont="1" applyBorder="1" applyAlignment="1">
      <alignment horizontal="right" vertical="top" readingOrder="1"/>
    </xf>
    <xf numFmtId="169" fontId="57" fillId="0" borderId="0" xfId="1" applyNumberFormat="1" applyFont="1" applyAlignment="1">
      <alignment horizontal="right" vertical="top"/>
    </xf>
    <xf numFmtId="3" fontId="57" fillId="0" borderId="0" xfId="0" applyNumberFormat="1" applyFont="1" applyFill="1" applyBorder="1" applyAlignment="1">
      <alignment horizontal="right" vertical="top" readingOrder="1"/>
    </xf>
    <xf numFmtId="168" fontId="57" fillId="0" borderId="0" xfId="0" applyNumberFormat="1" applyFont="1" applyBorder="1" applyAlignment="1">
      <alignment horizontal="right" vertical="top" readingOrder="1"/>
    </xf>
    <xf numFmtId="3" fontId="57" fillId="0" borderId="2" xfId="0" applyNumberFormat="1" applyFont="1" applyFill="1" applyBorder="1" applyAlignment="1">
      <alignment horizontal="right" vertical="top" readingOrder="1"/>
    </xf>
    <xf numFmtId="37" fontId="57" fillId="0" borderId="0" xfId="1" applyNumberFormat="1" applyFont="1" applyFill="1" applyAlignment="1">
      <alignment horizontal="right" vertical="top"/>
    </xf>
    <xf numFmtId="165" fontId="57" fillId="0" borderId="0" xfId="1" applyNumberFormat="1" applyFont="1" applyFill="1" applyBorder="1" applyAlignment="1">
      <alignment horizontal="right" vertical="top" readingOrder="1"/>
    </xf>
    <xf numFmtId="169" fontId="57" fillId="0" borderId="23" xfId="0" applyNumberFormat="1" applyFont="1" applyBorder="1" applyAlignment="1">
      <alignment horizontal="right" vertical="center"/>
    </xf>
    <xf numFmtId="169" fontId="57" fillId="0" borderId="2" xfId="0" applyNumberFormat="1" applyFont="1" applyBorder="1" applyAlignment="1">
      <alignment horizontal="right" vertical="center"/>
    </xf>
    <xf numFmtId="169" fontId="57" fillId="0" borderId="22" xfId="0" applyNumberFormat="1" applyFont="1" applyBorder="1" applyAlignment="1">
      <alignment horizontal="right" vertical="center"/>
    </xf>
    <xf numFmtId="169" fontId="57" fillId="0" borderId="28" xfId="0" applyNumberFormat="1" applyFont="1" applyBorder="1" applyAlignment="1">
      <alignment horizontal="right" vertical="center"/>
    </xf>
    <xf numFmtId="3" fontId="90" fillId="0" borderId="7" xfId="11" applyNumberFormat="1" applyFont="1" applyBorder="1"/>
    <xf numFmtId="0" fontId="86" fillId="0" borderId="21" xfId="0" applyFont="1" applyBorder="1" applyAlignment="1">
      <alignment horizontal="center" vertical="center" wrapText="1"/>
    </xf>
    <xf numFmtId="14" fontId="57" fillId="0" borderId="0" xfId="0" applyNumberFormat="1" applyFont="1" applyAlignment="1">
      <alignment vertical="top"/>
    </xf>
    <xf numFmtId="169" fontId="57" fillId="0" borderId="0" xfId="0" applyNumberFormat="1" applyFont="1"/>
    <xf numFmtId="3" fontId="57" fillId="0" borderId="28" xfId="0" applyNumberFormat="1" applyFont="1" applyBorder="1" applyAlignment="1">
      <alignment horizontal="right" vertical="center"/>
    </xf>
    <xf numFmtId="0" fontId="57" fillId="0" borderId="4" xfId="0" applyFont="1" applyBorder="1" applyAlignment="1">
      <alignment horizontal="right" vertical="center"/>
    </xf>
    <xf numFmtId="169" fontId="0" fillId="0" borderId="0" xfId="0" applyNumberFormat="1" applyFill="1"/>
    <xf numFmtId="3" fontId="43" fillId="0" borderId="0" xfId="78" applyNumberFormat="1"/>
    <xf numFmtId="3" fontId="53" fillId="0" borderId="0" xfId="0" applyNumberFormat="1" applyFont="1" applyBorder="1"/>
    <xf numFmtId="169" fontId="118" fillId="0" borderId="0" xfId="0" applyNumberFormat="1" applyFont="1" applyFill="1" applyBorder="1"/>
    <xf numFmtId="3" fontId="57" fillId="0" borderId="0" xfId="0" applyNumberFormat="1" applyFont="1" applyBorder="1" applyAlignment="1">
      <alignment vertical="center" readingOrder="2"/>
    </xf>
    <xf numFmtId="9" fontId="92" fillId="0" borderId="4" xfId="14" applyFont="1" applyFill="1" applyBorder="1" applyAlignment="1">
      <alignment horizontal="right" vertical="center" readingOrder="2"/>
    </xf>
    <xf numFmtId="3" fontId="57" fillId="0" borderId="5" xfId="0" applyNumberFormat="1" applyFont="1" applyBorder="1" applyAlignment="1">
      <alignment vertical="center" readingOrder="2"/>
    </xf>
    <xf numFmtId="3" fontId="57" fillId="0" borderId="7" xfId="11" applyNumberFormat="1" applyFont="1" applyBorder="1"/>
    <xf numFmtId="169" fontId="57" fillId="0" borderId="0" xfId="1" quotePrefix="1" applyNumberFormat="1" applyFont="1" applyFill="1" applyBorder="1" applyAlignment="1">
      <alignment vertical="center" readingOrder="2"/>
    </xf>
    <xf numFmtId="15" fontId="59" fillId="0" borderId="0" xfId="0" applyNumberFormat="1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wrapText="1"/>
    </xf>
    <xf numFmtId="165" fontId="89" fillId="0" borderId="0" xfId="0" applyNumberFormat="1" applyFont="1" applyBorder="1" applyAlignment="1">
      <alignment horizontal="center" vertical="center"/>
    </xf>
    <xf numFmtId="165" fontId="84" fillId="0" borderId="0" xfId="0" applyNumberFormat="1" applyFont="1" applyBorder="1" applyAlignment="1">
      <alignment vertical="center"/>
    </xf>
    <xf numFmtId="9" fontId="92" fillId="0" borderId="0" xfId="14" applyFont="1" applyFill="1" applyBorder="1" applyAlignment="1">
      <alignment horizontal="right" vertical="center" readingOrder="2"/>
    </xf>
    <xf numFmtId="9" fontId="92" fillId="0" borderId="0" xfId="14" applyNumberFormat="1" applyFont="1" applyFill="1" applyBorder="1" applyAlignment="1">
      <alignment horizontal="right" vertical="center" readingOrder="2"/>
    </xf>
    <xf numFmtId="165" fontId="94" fillId="0" borderId="0" xfId="0" applyNumberFormat="1" applyFont="1" applyFill="1" applyBorder="1" applyAlignment="1">
      <alignment horizontal="center" vertical="center"/>
    </xf>
    <xf numFmtId="9" fontId="92" fillId="0" borderId="0" xfId="14" applyFont="1" applyBorder="1" applyAlignment="1">
      <alignment horizontal="right" vertical="center" readingOrder="2"/>
    </xf>
    <xf numFmtId="9" fontId="92" fillId="0" borderId="0" xfId="14" applyNumberFormat="1" applyFont="1" applyBorder="1" applyAlignment="1">
      <alignment horizontal="right" vertical="center" readingOrder="2"/>
    </xf>
    <xf numFmtId="9" fontId="57" fillId="0" borderId="0" xfId="14" applyFont="1" applyBorder="1" applyAlignment="1">
      <alignment vertical="center" readingOrder="2"/>
    </xf>
    <xf numFmtId="1" fontId="57" fillId="0" borderId="0" xfId="14" applyNumberFormat="1" applyFont="1" applyBorder="1" applyAlignment="1">
      <alignment vertical="center" readingOrder="2"/>
    </xf>
    <xf numFmtId="169" fontId="57" fillId="0" borderId="2" xfId="0" applyNumberFormat="1" applyFont="1" applyFill="1" applyBorder="1" applyAlignment="1">
      <alignment horizontal="right" vertical="top"/>
    </xf>
    <xf numFmtId="0" fontId="57" fillId="0" borderId="7" xfId="0" applyFont="1" applyBorder="1" applyAlignment="1">
      <alignment horizontal="center" vertical="top" wrapText="1"/>
    </xf>
    <xf numFmtId="0" fontId="86" fillId="0" borderId="9" xfId="0" applyFont="1" applyBorder="1" applyAlignment="1">
      <alignment horizontal="left" vertical="center"/>
    </xf>
    <xf numFmtId="169" fontId="57" fillId="0" borderId="0" xfId="0" applyNumberFormat="1" applyFont="1" applyBorder="1" applyAlignment="1">
      <alignment vertical="center"/>
    </xf>
    <xf numFmtId="169" fontId="57" fillId="0" borderId="0" xfId="0" applyNumberFormat="1" applyFont="1" applyFill="1" applyBorder="1" applyAlignment="1">
      <alignment vertical="center"/>
    </xf>
    <xf numFmtId="169" fontId="43" fillId="0" borderId="0" xfId="78" applyNumberFormat="1"/>
    <xf numFmtId="0" fontId="86" fillId="0" borderId="1" xfId="11" applyFont="1" applyBorder="1" applyAlignment="1">
      <alignment horizontal="left" vertical="center"/>
    </xf>
    <xf numFmtId="0" fontId="57" fillId="0" borderId="1" xfId="11" applyFont="1" applyBorder="1" applyAlignment="1">
      <alignment vertical="center"/>
    </xf>
    <xf numFmtId="3" fontId="57" fillId="0" borderId="1" xfId="11" applyNumberFormat="1" applyFont="1" applyBorder="1" applyAlignment="1">
      <alignment vertical="center"/>
    </xf>
    <xf numFmtId="3" fontId="57" fillId="0" borderId="0" xfId="11" applyNumberFormat="1" applyFont="1" applyAlignment="1">
      <alignment vertical="center"/>
    </xf>
    <xf numFmtId="3" fontId="90" fillId="0" borderId="1" xfId="11" applyNumberFormat="1" applyFont="1" applyBorder="1" applyAlignment="1">
      <alignment vertical="center"/>
    </xf>
    <xf numFmtId="0" fontId="57" fillId="0" borderId="1" xfId="78" applyFont="1" applyBorder="1" applyAlignment="1">
      <alignment vertical="center"/>
    </xf>
    <xf numFmtId="0" fontId="57" fillId="0" borderId="1" xfId="11" applyFont="1" applyBorder="1" applyAlignment="1">
      <alignment horizontal="left" vertical="center"/>
    </xf>
    <xf numFmtId="3" fontId="57" fillId="0" borderId="4" xfId="11" applyNumberFormat="1" applyFont="1" applyBorder="1" applyAlignment="1">
      <alignment vertical="center"/>
    </xf>
    <xf numFmtId="3" fontId="98" fillId="0" borderId="1" xfId="11" applyNumberFormat="1" applyFont="1" applyBorder="1" applyAlignment="1">
      <alignment vertical="center"/>
    </xf>
    <xf numFmtId="3" fontId="98" fillId="0" borderId="1" xfId="78" applyNumberFormat="1" applyFont="1" applyBorder="1" applyAlignment="1">
      <alignment vertical="center"/>
    </xf>
    <xf numFmtId="3" fontId="99" fillId="0" borderId="1" xfId="11" applyNumberFormat="1" applyFont="1" applyBorder="1" applyAlignment="1">
      <alignment vertical="center"/>
    </xf>
    <xf numFmtId="3" fontId="99" fillId="0" borderId="4" xfId="11" applyNumberFormat="1" applyFont="1" applyBorder="1" applyAlignment="1">
      <alignment vertical="center"/>
    </xf>
    <xf numFmtId="3" fontId="100" fillId="0" borderId="1" xfId="11" applyNumberFormat="1" applyFont="1" applyBorder="1" applyAlignment="1">
      <alignment vertical="center"/>
    </xf>
    <xf numFmtId="3" fontId="100" fillId="0" borderId="1" xfId="78" applyNumberFormat="1" applyFont="1" applyBorder="1" applyAlignment="1">
      <alignment vertical="center"/>
    </xf>
    <xf numFmtId="3" fontId="57" fillId="0" borderId="2" xfId="11" applyNumberFormat="1" applyFont="1" applyBorder="1" applyAlignment="1">
      <alignment horizontal="right" vertical="center"/>
    </xf>
    <xf numFmtId="3" fontId="98" fillId="0" borderId="1" xfId="11" applyNumberFormat="1" applyFont="1" applyBorder="1" applyAlignment="1">
      <alignment horizontal="right" vertical="center"/>
    </xf>
    <xf numFmtId="0" fontId="98" fillId="0" borderId="1" xfId="78" applyFont="1" applyBorder="1" applyAlignment="1">
      <alignment horizontal="right" vertical="center"/>
    </xf>
    <xf numFmtId="3" fontId="98" fillId="0" borderId="1" xfId="78" applyNumberFormat="1" applyFont="1" applyBorder="1" applyAlignment="1">
      <alignment horizontal="right" vertical="center"/>
    </xf>
    <xf numFmtId="0" fontId="98" fillId="0" borderId="1" xfId="78" applyFont="1" applyBorder="1" applyAlignment="1">
      <alignment vertical="center"/>
    </xf>
    <xf numFmtId="3" fontId="57" fillId="0" borderId="1" xfId="11" applyNumberFormat="1" applyFont="1" applyBorder="1" applyAlignment="1">
      <alignment horizontal="right" vertical="center"/>
    </xf>
    <xf numFmtId="169" fontId="98" fillId="0" borderId="1" xfId="78" applyNumberFormat="1" applyFont="1" applyBorder="1" applyAlignment="1">
      <alignment horizontal="right" vertical="center"/>
    </xf>
    <xf numFmtId="3" fontId="86" fillId="0" borderId="1" xfId="11" applyNumberFormat="1" applyFont="1" applyBorder="1" applyAlignment="1">
      <alignment horizontal="center" vertical="center"/>
    </xf>
    <xf numFmtId="3" fontId="86" fillId="0" borderId="0" xfId="11" applyNumberFormat="1" applyFont="1" applyAlignment="1">
      <alignment horizontal="center" vertical="center"/>
    </xf>
    <xf numFmtId="169" fontId="57" fillId="0" borderId="1" xfId="78" applyNumberFormat="1" applyFont="1" applyBorder="1" applyAlignment="1">
      <alignment vertical="center"/>
    </xf>
    <xf numFmtId="169" fontId="57" fillId="0" borderId="4" xfId="11" applyNumberFormat="1" applyFont="1" applyBorder="1" applyAlignment="1">
      <alignment vertical="center"/>
    </xf>
    <xf numFmtId="169" fontId="57" fillId="0" borderId="0" xfId="78" applyNumberFormat="1" applyFont="1" applyAlignment="1">
      <alignment vertical="center"/>
    </xf>
    <xf numFmtId="169" fontId="57" fillId="0" borderId="4" xfId="11" applyNumberFormat="1" applyFont="1" applyBorder="1" applyAlignment="1">
      <alignment horizontal="right" vertical="center"/>
    </xf>
    <xf numFmtId="169" fontId="57" fillId="0" borderId="1" xfId="11" applyNumberFormat="1" applyFont="1" applyBorder="1" applyAlignment="1">
      <alignment horizontal="right" vertical="center"/>
    </xf>
    <xf numFmtId="169" fontId="57" fillId="0" borderId="0" xfId="11" applyNumberFormat="1" applyFont="1" applyAlignment="1">
      <alignment horizontal="right" vertical="center"/>
    </xf>
    <xf numFmtId="0" fontId="43" fillId="0" borderId="1" xfId="78" applyBorder="1"/>
    <xf numFmtId="169" fontId="98" fillId="0" borderId="1" xfId="78" applyNumberFormat="1" applyFont="1" applyBorder="1" applyAlignment="1">
      <alignment vertical="center"/>
    </xf>
    <xf numFmtId="3" fontId="57" fillId="0" borderId="0" xfId="11" applyNumberFormat="1" applyFont="1" applyAlignment="1">
      <alignment horizontal="right" vertical="center"/>
    </xf>
    <xf numFmtId="169" fontId="116" fillId="0" borderId="1" xfId="1" applyNumberFormat="1" applyFont="1" applyFill="1" applyBorder="1" applyAlignment="1">
      <alignment vertical="center"/>
    </xf>
    <xf numFmtId="0" fontId="86" fillId="0" borderId="1" xfId="11" applyFont="1" applyBorder="1" applyAlignment="1">
      <alignment vertical="center"/>
    </xf>
    <xf numFmtId="1" fontId="90" fillId="0" borderId="1" xfId="11" applyNumberFormat="1" applyFont="1" applyBorder="1" applyAlignment="1">
      <alignment vertical="center"/>
    </xf>
    <xf numFmtId="3" fontId="57" fillId="0" borderId="1" xfId="1" applyNumberFormat="1" applyFont="1" applyFill="1" applyBorder="1" applyAlignment="1">
      <alignment horizontal="right" vertical="center" readingOrder="2"/>
    </xf>
    <xf numFmtId="3" fontId="57" fillId="0" borderId="0" xfId="1" applyNumberFormat="1" applyFont="1" applyFill="1" applyBorder="1" applyAlignment="1">
      <alignment horizontal="right" vertical="center"/>
    </xf>
    <xf numFmtId="169" fontId="98" fillId="0" borderId="1" xfId="1" applyNumberFormat="1" applyFont="1" applyFill="1" applyBorder="1" applyAlignment="1">
      <alignment horizontal="right" vertical="center" readingOrder="2"/>
    </xf>
    <xf numFmtId="3" fontId="57" fillId="0" borderId="1" xfId="11" applyNumberFormat="1" applyFont="1" applyBorder="1" applyAlignment="1">
      <alignment horizontal="right" vertical="center" readingOrder="2"/>
    </xf>
    <xf numFmtId="3" fontId="57" fillId="0" borderId="0" xfId="11" applyNumberFormat="1" applyFont="1" applyAlignment="1">
      <alignment horizontal="right" vertical="center" readingOrder="2"/>
    </xf>
    <xf numFmtId="165" fontId="90" fillId="0" borderId="1" xfId="1" applyNumberFormat="1" applyFont="1" applyFill="1" applyBorder="1" applyAlignment="1">
      <alignment vertical="center"/>
    </xf>
    <xf numFmtId="0" fontId="86" fillId="0" borderId="23" xfId="11" applyFont="1" applyBorder="1" applyAlignment="1">
      <alignment vertical="center"/>
    </xf>
    <xf numFmtId="3" fontId="99" fillId="0" borderId="23" xfId="11" applyNumberFormat="1" applyFont="1" applyBorder="1" applyAlignment="1">
      <alignment vertical="center"/>
    </xf>
    <xf numFmtId="3" fontId="99" fillId="0" borderId="28" xfId="11" applyNumberFormat="1" applyFont="1" applyBorder="1" applyAlignment="1">
      <alignment vertical="center"/>
    </xf>
    <xf numFmtId="169" fontId="100" fillId="0" borderId="23" xfId="1" applyNumberFormat="1" applyFont="1" applyFill="1" applyBorder="1" applyAlignment="1">
      <alignment vertical="center"/>
    </xf>
    <xf numFmtId="3" fontId="100" fillId="0" borderId="23" xfId="78" applyNumberFormat="1" applyFont="1" applyBorder="1" applyAlignment="1">
      <alignment vertical="center"/>
    </xf>
    <xf numFmtId="0" fontId="44" fillId="0" borderId="23" xfId="0" applyFont="1" applyBorder="1"/>
    <xf numFmtId="0" fontId="53" fillId="0" borderId="9" xfId="0" applyFont="1" applyBorder="1" applyAlignment="1">
      <alignment horizontal="center" vertical="center"/>
    </xf>
    <xf numFmtId="166" fontId="53" fillId="0" borderId="9" xfId="0" applyNumberFormat="1" applyFont="1" applyBorder="1" applyAlignment="1">
      <alignment horizontal="center" vertical="center" wrapText="1"/>
    </xf>
    <xf numFmtId="14" fontId="53" fillId="0" borderId="9" xfId="0" applyNumberFormat="1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169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3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right"/>
    </xf>
    <xf numFmtId="166" fontId="53" fillId="0" borderId="28" xfId="0" applyNumberFormat="1" applyFont="1" applyBorder="1" applyAlignment="1">
      <alignment horizontal="right" vertical="center"/>
    </xf>
    <xf numFmtId="17" fontId="57" fillId="0" borderId="8" xfId="0" quotePrefix="1" applyNumberFormat="1" applyFont="1" applyBorder="1" applyAlignment="1">
      <alignment horizontal="center" vertical="center" wrapText="1"/>
    </xf>
    <xf numFmtId="0" fontId="89" fillId="0" borderId="23" xfId="0" applyFont="1" applyBorder="1" applyAlignment="1">
      <alignment horizontal="left" vertical="center"/>
    </xf>
    <xf numFmtId="3" fontId="57" fillId="0" borderId="23" xfId="0" applyNumberFormat="1" applyFont="1" applyBorder="1" applyAlignment="1">
      <alignment vertical="center"/>
    </xf>
    <xf numFmtId="169" fontId="57" fillId="0" borderId="1" xfId="0" applyNumberFormat="1" applyFont="1" applyBorder="1" applyAlignment="1">
      <alignment horizontal="right" vertical="top" wrapText="1"/>
    </xf>
    <xf numFmtId="0" fontId="89" fillId="0" borderId="1" xfId="0" applyFont="1" applyBorder="1" applyAlignment="1">
      <alignment horizontal="left" vertical="center"/>
    </xf>
    <xf numFmtId="3" fontId="57" fillId="0" borderId="22" xfId="0" applyNumberFormat="1" applyFont="1" applyBorder="1" applyAlignment="1">
      <alignment horizontal="right" vertical="center"/>
    </xf>
    <xf numFmtId="0" fontId="57" fillId="0" borderId="28" xfId="0" applyFont="1" applyBorder="1" applyAlignment="1">
      <alignment vertical="center"/>
    </xf>
    <xf numFmtId="0" fontId="57" fillId="0" borderId="27" xfId="0" applyFont="1" applyBorder="1" applyAlignment="1">
      <alignment vertical="center"/>
    </xf>
    <xf numFmtId="0" fontId="57" fillId="0" borderId="24" xfId="0" applyFont="1" applyBorder="1"/>
    <xf numFmtId="3" fontId="57" fillId="0" borderId="25" xfId="0" applyNumberFormat="1" applyFont="1" applyBorder="1"/>
    <xf numFmtId="0" fontId="57" fillId="0" borderId="25" xfId="0" applyFont="1" applyBorder="1"/>
    <xf numFmtId="0" fontId="0" fillId="0" borderId="25" xfId="0" applyBorder="1"/>
    <xf numFmtId="3" fontId="107" fillId="0" borderId="21" xfId="0" applyNumberFormat="1" applyFont="1" applyBorder="1" applyAlignment="1">
      <alignment horizontal="right" wrapText="1"/>
    </xf>
    <xf numFmtId="169" fontId="86" fillId="0" borderId="1" xfId="0" applyNumberFormat="1" applyFont="1" applyBorder="1"/>
    <xf numFmtId="169" fontId="57" fillId="0" borderId="1" xfId="0" applyNumberFormat="1" applyFont="1" applyBorder="1"/>
    <xf numFmtId="17" fontId="57" fillId="0" borderId="0" xfId="0" quotePrefix="1" applyNumberFormat="1" applyFont="1" applyAlignment="1">
      <alignment horizontal="center" vertical="center" wrapText="1"/>
    </xf>
    <xf numFmtId="169" fontId="57" fillId="0" borderId="0" xfId="0" quotePrefix="1" applyNumberFormat="1" applyFont="1" applyAlignment="1">
      <alignment horizontal="right" vertical="center" wrapText="1"/>
    </xf>
    <xf numFmtId="17" fontId="57" fillId="0" borderId="0" xfId="0" quotePrefix="1" applyNumberFormat="1" applyFont="1" applyAlignment="1">
      <alignment horizontal="right" vertical="center" wrapText="1"/>
    </xf>
    <xf numFmtId="0" fontId="89" fillId="0" borderId="0" xfId="0" applyFont="1" applyAlignment="1">
      <alignment horizontal="left" vertical="center"/>
    </xf>
    <xf numFmtId="0" fontId="96" fillId="0" borderId="0" xfId="0" applyFont="1"/>
    <xf numFmtId="37" fontId="57" fillId="0" borderId="0" xfId="0" applyNumberFormat="1" applyFont="1"/>
    <xf numFmtId="0" fontId="86" fillId="0" borderId="9" xfId="78" applyFont="1" applyBorder="1" applyAlignment="1">
      <alignment horizontal="left"/>
    </xf>
    <xf numFmtId="17" fontId="57" fillId="0" borderId="10" xfId="78" quotePrefix="1" applyNumberFormat="1" applyFont="1" applyBorder="1" applyAlignment="1">
      <alignment horizontal="center" vertical="center" wrapText="1"/>
    </xf>
    <xf numFmtId="17" fontId="57" fillId="0" borderId="11" xfId="78" quotePrefix="1" applyNumberFormat="1" applyFont="1" applyBorder="1" applyAlignment="1">
      <alignment horizontal="center" vertical="center" wrapText="1"/>
    </xf>
    <xf numFmtId="0" fontId="57" fillId="0" borderId="9" xfId="78" applyFont="1" applyBorder="1" applyAlignment="1">
      <alignment horizontal="center" vertical="top" wrapText="1"/>
    </xf>
    <xf numFmtId="0" fontId="86" fillId="0" borderId="7" xfId="78" applyFont="1" applyBorder="1" applyAlignment="1">
      <alignment horizontal="left"/>
    </xf>
    <xf numFmtId="0" fontId="57" fillId="0" borderId="1" xfId="78" applyFont="1" applyBorder="1" applyAlignment="1">
      <alignment horizontal="center" vertical="top" wrapText="1"/>
    </xf>
    <xf numFmtId="0" fontId="86" fillId="0" borderId="1" xfId="78" applyFont="1" applyBorder="1"/>
    <xf numFmtId="3" fontId="57" fillId="0" borderId="2" xfId="1" applyNumberFormat="1" applyFont="1" applyFill="1" applyBorder="1" applyAlignment="1">
      <alignment readingOrder="2"/>
    </xf>
    <xf numFmtId="3" fontId="57" fillId="0" borderId="0" xfId="1" applyNumberFormat="1" applyFont="1" applyFill="1" applyBorder="1" applyAlignment="1">
      <alignment horizontal="right" readingOrder="2"/>
    </xf>
    <xf numFmtId="3" fontId="57" fillId="0" borderId="0" xfId="1" applyNumberFormat="1" applyFont="1" applyBorder="1" applyAlignment="1">
      <alignment readingOrder="2"/>
    </xf>
    <xf numFmtId="3" fontId="57" fillId="0" borderId="0" xfId="1" applyNumberFormat="1" applyFont="1" applyFill="1" applyBorder="1" applyAlignment="1">
      <alignment readingOrder="2"/>
    </xf>
    <xf numFmtId="3" fontId="57" fillId="0" borderId="4" xfId="1" applyNumberFormat="1" applyFont="1" applyBorder="1" applyAlignment="1">
      <alignment readingOrder="2"/>
    </xf>
    <xf numFmtId="3" fontId="57" fillId="0" borderId="1" xfId="1" applyNumberFormat="1" applyFont="1" applyBorder="1" applyAlignment="1">
      <alignment readingOrder="2"/>
    </xf>
    <xf numFmtId="0" fontId="92" fillId="0" borderId="1" xfId="1959" applyFont="1" applyBorder="1" applyAlignment="1">
      <alignment horizontal="left" indent="1"/>
    </xf>
    <xf numFmtId="169" fontId="57" fillId="0" borderId="2" xfId="1" applyNumberFormat="1" applyFont="1" applyBorder="1"/>
    <xf numFmtId="169" fontId="57" fillId="0" borderId="0" xfId="1" applyNumberFormat="1" applyFont="1" applyBorder="1"/>
    <xf numFmtId="169" fontId="57" fillId="0" borderId="0" xfId="1" applyNumberFormat="1" applyFont="1" applyFill="1" applyBorder="1"/>
    <xf numFmtId="169" fontId="57" fillId="0" borderId="0" xfId="1" applyNumberFormat="1" applyFont="1" applyFill="1" applyBorder="1" applyAlignment="1">
      <alignment readingOrder="2"/>
    </xf>
    <xf numFmtId="3" fontId="57" fillId="0" borderId="0" xfId="1" applyNumberFormat="1" applyFont="1" applyFill="1" applyBorder="1" applyAlignment="1"/>
    <xf numFmtId="169" fontId="57" fillId="0" borderId="2" xfId="1" applyNumberFormat="1" applyFont="1" applyFill="1" applyBorder="1"/>
    <xf numFmtId="169" fontId="57" fillId="0" borderId="0" xfId="1" applyNumberFormat="1" applyFont="1"/>
    <xf numFmtId="169" fontId="57" fillId="0" borderId="0" xfId="1" applyNumberFormat="1" applyFont="1" applyFill="1"/>
    <xf numFmtId="0" fontId="57" fillId="0" borderId="1" xfId="78" applyFont="1" applyBorder="1" applyAlignment="1">
      <alignment horizontal="left" indent="1"/>
    </xf>
    <xf numFmtId="169" fontId="57" fillId="0" borderId="0" xfId="1" applyNumberFormat="1" applyFont="1" applyFill="1" applyBorder="1" applyAlignment="1">
      <alignment horizontal="right" readingOrder="2"/>
    </xf>
    <xf numFmtId="0" fontId="57" fillId="0" borderId="1" xfId="78" applyFont="1" applyBorder="1" applyAlignment="1">
      <alignment horizontal="left" vertical="center" wrapText="1" indent="1"/>
    </xf>
    <xf numFmtId="169" fontId="57" fillId="0" borderId="0" xfId="1" applyNumberFormat="1" applyFont="1" applyBorder="1" applyAlignment="1"/>
    <xf numFmtId="169" fontId="57" fillId="0" borderId="0" xfId="1" applyNumberFormat="1" applyFont="1" applyFill="1" applyBorder="1" applyAlignment="1"/>
    <xf numFmtId="0" fontId="89" fillId="0" borderId="22" xfId="78" applyFont="1" applyBorder="1" applyAlignment="1">
      <alignment horizontal="left" wrapText="1" indent="1"/>
    </xf>
    <xf numFmtId="169" fontId="89" fillId="0" borderId="22" xfId="1" quotePrefix="1" applyNumberFormat="1" applyFont="1" applyBorder="1" applyAlignment="1">
      <alignment readingOrder="2"/>
    </xf>
    <xf numFmtId="169" fontId="89" fillId="0" borderId="28" xfId="1" quotePrefix="1" applyNumberFormat="1" applyFont="1" applyBorder="1" applyAlignment="1">
      <alignment readingOrder="2"/>
    </xf>
    <xf numFmtId="169" fontId="89" fillId="0" borderId="23" xfId="1" applyNumberFormat="1" applyFont="1" applyBorder="1" applyAlignment="1">
      <alignment readingOrder="2"/>
    </xf>
    <xf numFmtId="0" fontId="89" fillId="0" borderId="0" xfId="78" applyFont="1" applyAlignment="1">
      <alignment horizontal="left" wrapText="1" indent="1"/>
    </xf>
    <xf numFmtId="169" fontId="89" fillId="0" borderId="0" xfId="1" quotePrefix="1" applyNumberFormat="1" applyFont="1" applyBorder="1" applyAlignment="1">
      <alignment readingOrder="2"/>
    </xf>
    <xf numFmtId="169" fontId="89" fillId="0" borderId="0" xfId="1" quotePrefix="1" applyNumberFormat="1" applyFont="1" applyFill="1" applyBorder="1" applyAlignment="1">
      <alignment readingOrder="2"/>
    </xf>
    <xf numFmtId="169" fontId="89" fillId="0" borderId="0" xfId="1" applyNumberFormat="1" applyFont="1" applyBorder="1" applyAlignment="1">
      <alignment readingOrder="2"/>
    </xf>
    <xf numFmtId="0" fontId="96" fillId="0" borderId="0" xfId="78" applyFont="1"/>
    <xf numFmtId="0" fontId="43" fillId="0" borderId="0" xfId="78" applyAlignment="1">
      <alignment vertical="top"/>
    </xf>
    <xf numFmtId="37" fontId="57" fillId="0" borderId="0" xfId="78" applyNumberFormat="1" applyFont="1"/>
    <xf numFmtId="37" fontId="43" fillId="0" borderId="0" xfId="78" applyNumberFormat="1"/>
    <xf numFmtId="0" fontId="120" fillId="0" borderId="0" xfId="78" applyFont="1"/>
    <xf numFmtId="0" fontId="0" fillId="0" borderId="9" xfId="0" applyBorder="1" applyAlignment="1">
      <alignment horizontal="right" vertical="top"/>
    </xf>
    <xf numFmtId="0" fontId="43" fillId="0" borderId="23" xfId="0" applyFont="1" applyBorder="1" applyAlignment="1">
      <alignment horizontal="center" vertical="top" wrapText="1"/>
    </xf>
    <xf numFmtId="3" fontId="86" fillId="0" borderId="0" xfId="0" applyNumberFormat="1" applyFont="1" applyBorder="1" applyAlignment="1">
      <alignment vertical="top"/>
    </xf>
    <xf numFmtId="169" fontId="86" fillId="0" borderId="0" xfId="1" applyNumberFormat="1" applyFont="1" applyBorder="1" applyAlignment="1">
      <alignment vertical="top"/>
    </xf>
    <xf numFmtId="169" fontId="57" fillId="0" borderId="0" xfId="0" applyNumberFormat="1" applyFont="1" applyBorder="1" applyAlignment="1">
      <alignment horizontal="right" vertical="center"/>
    </xf>
    <xf numFmtId="3" fontId="57" fillId="0" borderId="28" xfId="0" applyNumberFormat="1" applyFont="1" applyBorder="1" applyAlignment="1">
      <alignment horizontal="right" vertical="top" readingOrder="1"/>
    </xf>
    <xf numFmtId="3" fontId="89" fillId="0" borderId="23" xfId="11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7" xfId="0" applyFont="1" applyBorder="1" applyAlignment="1">
      <alignment horizontal="center" vertical="center"/>
    </xf>
    <xf numFmtId="0" fontId="57" fillId="0" borderId="1" xfId="0" applyFont="1" applyBorder="1" applyAlignment="1">
      <alignment vertical="center"/>
    </xf>
    <xf numFmtId="169" fontId="57" fillId="0" borderId="22" xfId="0" quotePrefix="1" applyNumberFormat="1" applyFont="1" applyBorder="1" applyAlignment="1">
      <alignment horizontal="right" vertical="center"/>
    </xf>
    <xf numFmtId="169" fontId="57" fillId="0" borderId="28" xfId="0" quotePrefix="1" applyNumberFormat="1" applyFont="1" applyBorder="1" applyAlignment="1">
      <alignment horizontal="right" vertical="center"/>
    </xf>
    <xf numFmtId="169" fontId="57" fillId="0" borderId="2" xfId="0" quotePrefix="1" applyNumberFormat="1" applyFont="1" applyBorder="1" applyAlignment="1">
      <alignment horizontal="right" vertical="center"/>
    </xf>
    <xf numFmtId="169" fontId="57" fillId="0" borderId="0" xfId="0" quotePrefix="1" applyNumberFormat="1" applyFont="1" applyAlignment="1">
      <alignment horizontal="right" vertical="center"/>
    </xf>
    <xf numFmtId="3" fontId="57" fillId="0" borderId="4" xfId="11" applyNumberFormat="1" applyFont="1" applyBorder="1" applyAlignment="1">
      <alignment horizontal="right" vertical="center"/>
    </xf>
    <xf numFmtId="3" fontId="57" fillId="0" borderId="4" xfId="0" applyNumberFormat="1" applyFont="1" applyBorder="1" applyAlignment="1">
      <alignment horizontal="right" vertical="center"/>
    </xf>
    <xf numFmtId="3" fontId="57" fillId="0" borderId="27" xfId="0" applyNumberFormat="1" applyFont="1" applyBorder="1" applyAlignment="1">
      <alignment horizontal="right" vertical="center"/>
    </xf>
    <xf numFmtId="169" fontId="0" fillId="0" borderId="0" xfId="0" applyNumberFormat="1" applyBorder="1"/>
    <xf numFmtId="14" fontId="43" fillId="0" borderId="0" xfId="0" applyNumberFormat="1" applyFont="1" applyAlignment="1">
      <alignment vertical="center"/>
    </xf>
    <xf numFmtId="0" fontId="57" fillId="0" borderId="1" xfId="11" applyFont="1" applyBorder="1" applyAlignment="1">
      <alignment horizontal="left" vertical="center" indent="1"/>
    </xf>
    <xf numFmtId="0" fontId="57" fillId="0" borderId="1" xfId="0" applyFont="1" applyBorder="1" applyAlignment="1"/>
    <xf numFmtId="3" fontId="92" fillId="0" borderId="1" xfId="12" applyNumberFormat="1" applyFont="1" applyBorder="1" applyAlignment="1"/>
    <xf numFmtId="3" fontId="92" fillId="0" borderId="2" xfId="12" applyNumberFormat="1" applyFont="1" applyBorder="1" applyAlignment="1"/>
    <xf numFmtId="3" fontId="57" fillId="0" borderId="1" xfId="0" applyNumberFormat="1" applyFont="1" applyBorder="1" applyAlignment="1"/>
    <xf numFmtId="3" fontId="57" fillId="0" borderId="0" xfId="0" applyNumberFormat="1" applyFont="1" applyAlignment="1"/>
    <xf numFmtId="169" fontId="57" fillId="0" borderId="0" xfId="0" applyNumberFormat="1" applyFont="1" applyAlignment="1"/>
    <xf numFmtId="169" fontId="57" fillId="0" borderId="1" xfId="0" applyNumberFormat="1" applyFont="1" applyBorder="1" applyAlignment="1">
      <alignment wrapText="1"/>
    </xf>
    <xf numFmtId="169" fontId="57" fillId="0" borderId="1" xfId="0" applyNumberFormat="1" applyFont="1" applyBorder="1" applyAlignment="1"/>
    <xf numFmtId="169" fontId="92" fillId="0" borderId="4" xfId="0" applyNumberFormat="1" applyFont="1" applyBorder="1" applyAlignment="1"/>
    <xf numFmtId="3" fontId="92" fillId="0" borderId="1" xfId="12" applyNumberFormat="1" applyFont="1" applyFill="1" applyBorder="1" applyAlignment="1"/>
    <xf numFmtId="3" fontId="92" fillId="0" borderId="2" xfId="12" applyNumberFormat="1" applyFont="1" applyFill="1" applyBorder="1" applyAlignment="1"/>
    <xf numFmtId="3" fontId="57" fillId="0" borderId="1" xfId="0" applyNumberFormat="1" applyFont="1" applyFill="1" applyBorder="1" applyAlignment="1"/>
    <xf numFmtId="3" fontId="57" fillId="0" borderId="0" xfId="0" applyNumberFormat="1" applyFont="1" applyFill="1" applyAlignment="1"/>
    <xf numFmtId="169" fontId="57" fillId="0" borderId="0" xfId="0" applyNumberFormat="1" applyFont="1" applyFill="1" applyAlignment="1"/>
    <xf numFmtId="169" fontId="57" fillId="0" borderId="1" xfId="0" applyNumberFormat="1" applyFont="1" applyFill="1" applyBorder="1" applyAlignment="1">
      <alignment wrapText="1"/>
    </xf>
    <xf numFmtId="169" fontId="57" fillId="0" borderId="1" xfId="0" applyNumberFormat="1" applyFont="1" applyFill="1" applyBorder="1" applyAlignment="1"/>
    <xf numFmtId="169" fontId="92" fillId="0" borderId="4" xfId="0" applyNumberFormat="1" applyFont="1" applyFill="1" applyBorder="1" applyAlignment="1"/>
    <xf numFmtId="0" fontId="57" fillId="0" borderId="1" xfId="0" applyFont="1" applyFill="1" applyBorder="1" applyAlignment="1">
      <alignment wrapText="1"/>
    </xf>
    <xf numFmtId="169" fontId="57" fillId="0" borderId="2" xfId="0" applyNumberFormat="1" applyFont="1" applyFill="1" applyBorder="1" applyAlignment="1"/>
    <xf numFmtId="3" fontId="57" fillId="0" borderId="1" xfId="0" applyNumberFormat="1" applyFont="1" applyFill="1" applyBorder="1" applyAlignment="1">
      <alignment wrapText="1"/>
    </xf>
    <xf numFmtId="0" fontId="57" fillId="0" borderId="1" xfId="0" applyFont="1" applyFill="1" applyBorder="1" applyAlignment="1">
      <alignment horizontal="right"/>
    </xf>
    <xf numFmtId="0" fontId="57" fillId="0" borderId="2" xfId="0" applyFont="1" applyFill="1" applyBorder="1" applyAlignment="1">
      <alignment horizontal="right"/>
    </xf>
    <xf numFmtId="3" fontId="57" fillId="0" borderId="2" xfId="0" applyNumberFormat="1" applyFont="1" applyFill="1" applyBorder="1" applyAlignment="1"/>
    <xf numFmtId="3" fontId="57" fillId="0" borderId="0" xfId="0" applyNumberFormat="1" applyFont="1" applyFill="1" applyAlignment="1">
      <alignment horizontal="right"/>
    </xf>
    <xf numFmtId="3" fontId="57" fillId="0" borderId="1" xfId="10" applyNumberFormat="1" applyFont="1" applyFill="1" applyBorder="1" applyAlignment="1" applyProtection="1">
      <alignment horizontal="right"/>
    </xf>
    <xf numFmtId="0" fontId="57" fillId="0" borderId="23" xfId="0" applyFont="1" applyFill="1" applyBorder="1" applyAlignment="1">
      <alignment horizontal="left"/>
    </xf>
    <xf numFmtId="3" fontId="57" fillId="0" borderId="23" xfId="0" applyNumberFormat="1" applyFont="1" applyFill="1" applyBorder="1" applyAlignment="1">
      <alignment horizontal="right"/>
    </xf>
    <xf numFmtId="3" fontId="57" fillId="0" borderId="22" xfId="0" applyNumberFormat="1" applyFont="1" applyFill="1" applyBorder="1" applyAlignment="1">
      <alignment horizontal="right"/>
    </xf>
    <xf numFmtId="169" fontId="57" fillId="0" borderId="22" xfId="0" applyNumberFormat="1" applyFont="1" applyFill="1" applyBorder="1" applyAlignment="1"/>
    <xf numFmtId="169" fontId="57" fillId="0" borderId="28" xfId="0" applyNumberFormat="1" applyFont="1" applyFill="1" applyBorder="1" applyAlignment="1"/>
    <xf numFmtId="3" fontId="57" fillId="0" borderId="28" xfId="0" applyNumberFormat="1" applyFont="1" applyFill="1" applyBorder="1" applyAlignment="1"/>
    <xf numFmtId="169" fontId="57" fillId="0" borderId="23" xfId="0" applyNumberFormat="1" applyFont="1" applyFill="1" applyBorder="1" applyAlignment="1"/>
    <xf numFmtId="3" fontId="57" fillId="0" borderId="23" xfId="0" applyNumberFormat="1" applyFont="1" applyFill="1" applyBorder="1" applyAlignment="1"/>
    <xf numFmtId="37" fontId="57" fillId="0" borderId="0" xfId="0" applyNumberFormat="1" applyFont="1" applyFill="1" applyAlignment="1"/>
    <xf numFmtId="3" fontId="43" fillId="0" borderId="0" xfId="0" applyNumberFormat="1" applyFont="1" applyFill="1" applyAlignment="1"/>
    <xf numFmtId="4" fontId="57" fillId="0" borderId="0" xfId="0" applyNumberFormat="1" applyFont="1" applyFill="1" applyAlignment="1"/>
    <xf numFmtId="0" fontId="47" fillId="0" borderId="0" xfId="78" applyFont="1"/>
    <xf numFmtId="0" fontId="47" fillId="0" borderId="9" xfId="78" applyFont="1" applyBorder="1" applyAlignment="1">
      <alignment horizontal="center"/>
    </xf>
    <xf numFmtId="0" fontId="47" fillId="0" borderId="9" xfId="78" applyFont="1" applyBorder="1" applyAlignment="1">
      <alignment horizontal="center" wrapText="1"/>
    </xf>
    <xf numFmtId="0" fontId="86" fillId="0" borderId="7" xfId="78" applyFont="1" applyBorder="1" applyAlignment="1">
      <alignment vertical="center"/>
    </xf>
    <xf numFmtId="0" fontId="57" fillId="0" borderId="7" xfId="78" applyFont="1" applyBorder="1"/>
    <xf numFmtId="169" fontId="57" fillId="0" borderId="1" xfId="78" applyNumberFormat="1" applyFont="1" applyBorder="1"/>
    <xf numFmtId="169" fontId="57" fillId="0" borderId="2" xfId="78" applyNumberFormat="1" applyFont="1" applyBorder="1"/>
    <xf numFmtId="0" fontId="57" fillId="0" borderId="23" xfId="78" applyFont="1" applyBorder="1"/>
    <xf numFmtId="169" fontId="57" fillId="0" borderId="23" xfId="78" applyNumberFormat="1" applyFont="1" applyBorder="1"/>
    <xf numFmtId="0" fontId="86" fillId="0" borderId="9" xfId="78" applyFont="1" applyBorder="1"/>
    <xf numFmtId="169" fontId="86" fillId="0" borderId="9" xfId="78" applyNumberFormat="1" applyFont="1" applyBorder="1"/>
    <xf numFmtId="169" fontId="57" fillId="0" borderId="1" xfId="0" applyNumberFormat="1" applyFont="1" applyFill="1" applyBorder="1"/>
    <xf numFmtId="0" fontId="57" fillId="0" borderId="0" xfId="78" applyFont="1" applyAlignment="1">
      <alignment vertical="top"/>
    </xf>
    <xf numFmtId="169" fontId="43" fillId="0" borderId="0" xfId="0" applyNumberFormat="1" applyFont="1" applyFill="1" applyAlignment="1"/>
    <xf numFmtId="0" fontId="86" fillId="0" borderId="7" xfId="0" applyFont="1" applyBorder="1" applyAlignment="1">
      <alignment horizontal="left" vertical="center"/>
    </xf>
    <xf numFmtId="0" fontId="57" fillId="0" borderId="1" xfId="0" applyFont="1" applyBorder="1" applyAlignment="1">
      <alignment horizontal="left" indent="1"/>
    </xf>
    <xf numFmtId="0" fontId="86" fillId="0" borderId="1" xfId="0" applyFont="1" applyBorder="1" applyAlignment="1">
      <alignment horizontal="left" vertical="center"/>
    </xf>
    <xf numFmtId="0" fontId="3" fillId="0" borderId="0" xfId="1972" applyAlignment="1">
      <alignment vertical="center"/>
    </xf>
    <xf numFmtId="0" fontId="3" fillId="0" borderId="0" xfId="1972"/>
    <xf numFmtId="3" fontId="105" fillId="0" borderId="7" xfId="1974" applyNumberFormat="1" applyFont="1" applyBorder="1" applyAlignment="1">
      <alignment horizontal="left" vertical="center" wrapText="1"/>
    </xf>
    <xf numFmtId="3" fontId="107" fillId="0" borderId="5" xfId="1975" applyNumberFormat="1" applyFont="1" applyBorder="1" applyAlignment="1">
      <alignment horizontal="right" wrapText="1"/>
    </xf>
    <xf numFmtId="3" fontId="107" fillId="0" borderId="6" xfId="1975" applyNumberFormat="1" applyFont="1" applyBorder="1" applyAlignment="1">
      <alignment horizontal="right" wrapText="1"/>
    </xf>
    <xf numFmtId="3" fontId="107" fillId="0" borderId="29" xfId="1975" applyNumberFormat="1" applyFont="1" applyBorder="1" applyAlignment="1">
      <alignment horizontal="right" wrapText="1"/>
    </xf>
    <xf numFmtId="0" fontId="107" fillId="0" borderId="5" xfId="1976" applyFont="1" applyBorder="1"/>
    <xf numFmtId="0" fontId="107" fillId="0" borderId="6" xfId="1976" applyFont="1" applyBorder="1"/>
    <xf numFmtId="0" fontId="107" fillId="0" borderId="29" xfId="1976" applyFont="1" applyBorder="1"/>
    <xf numFmtId="0" fontId="107" fillId="0" borderId="0" xfId="1980" applyFont="1"/>
    <xf numFmtId="0" fontId="107" fillId="0" borderId="0" xfId="1981" applyFont="1"/>
    <xf numFmtId="0" fontId="105" fillId="0" borderId="0" xfId="1980" applyFont="1"/>
    <xf numFmtId="3" fontId="107" fillId="0" borderId="21" xfId="0" applyNumberFormat="1" applyFont="1" applyFill="1" applyBorder="1" applyAlignment="1">
      <alignment horizontal="right" wrapText="1"/>
    </xf>
    <xf numFmtId="3" fontId="105" fillId="0" borderId="21" xfId="0" applyNumberFormat="1" applyFont="1" applyBorder="1"/>
    <xf numFmtId="3" fontId="105" fillId="0" borderId="21" xfId="0" applyNumberFormat="1" applyFont="1" applyFill="1" applyBorder="1"/>
    <xf numFmtId="3" fontId="105" fillId="0" borderId="31" xfId="0" applyNumberFormat="1" applyFont="1" applyFill="1" applyBorder="1"/>
    <xf numFmtId="0" fontId="105" fillId="0" borderId="0" xfId="73" applyFont="1" applyBorder="1" applyAlignment="1">
      <alignment vertical="center" wrapText="1"/>
    </xf>
    <xf numFmtId="3" fontId="107" fillId="0" borderId="0" xfId="1973" applyNumberFormat="1" applyFont="1" applyBorder="1" applyAlignment="1">
      <alignment horizontal="right" wrapText="1"/>
    </xf>
    <xf numFmtId="3" fontId="81" fillId="0" borderId="0" xfId="1973" applyNumberFormat="1" applyFont="1" applyBorder="1" applyAlignment="1">
      <alignment horizontal="right" wrapText="1"/>
    </xf>
    <xf numFmtId="3" fontId="105" fillId="0" borderId="0" xfId="0" applyNumberFormat="1" applyFont="1" applyFill="1" applyBorder="1" applyAlignment="1">
      <alignment horizontal="right" wrapText="1"/>
    </xf>
    <xf numFmtId="0" fontId="86" fillId="0" borderId="1" xfId="11" applyFont="1" applyBorder="1" applyAlignment="1">
      <alignment horizontal="left"/>
    </xf>
    <xf numFmtId="0" fontId="57" fillId="0" borderId="1" xfId="11" applyFont="1" applyBorder="1" applyAlignment="1">
      <alignment horizontal="left" indent="1"/>
    </xf>
    <xf numFmtId="3" fontId="57" fillId="0" borderId="2" xfId="11" applyNumberFormat="1" applyFont="1" applyBorder="1" applyAlignment="1">
      <alignment horizontal="right"/>
    </xf>
    <xf numFmtId="3" fontId="98" fillId="0" borderId="1" xfId="11" applyNumberFormat="1" applyFont="1" applyBorder="1" applyAlignment="1">
      <alignment horizontal="right"/>
    </xf>
    <xf numFmtId="3" fontId="57" fillId="0" borderId="1" xfId="11" applyNumberFormat="1" applyFont="1" applyBorder="1" applyAlignment="1">
      <alignment horizontal="right"/>
    </xf>
    <xf numFmtId="3" fontId="57" fillId="0" borderId="0" xfId="11" applyNumberFormat="1" applyFont="1" applyAlignment="1">
      <alignment horizontal="right"/>
    </xf>
    <xf numFmtId="169" fontId="57" fillId="0" borderId="0" xfId="78" applyNumberFormat="1" applyFont="1"/>
    <xf numFmtId="169" fontId="57" fillId="0" borderId="0" xfId="11" applyNumberFormat="1" applyFont="1" applyAlignment="1">
      <alignment horizontal="right"/>
    </xf>
    <xf numFmtId="169" fontId="116" fillId="0" borderId="1" xfId="1" applyNumberFormat="1" applyFont="1" applyFill="1" applyBorder="1" applyAlignment="1"/>
    <xf numFmtId="3" fontId="57" fillId="0" borderId="1" xfId="1" applyNumberFormat="1" applyFont="1" applyFill="1" applyBorder="1" applyAlignment="1">
      <alignment horizontal="right" readingOrder="2"/>
    </xf>
    <xf numFmtId="169" fontId="98" fillId="0" borderId="1" xfId="1" applyNumberFormat="1" applyFont="1" applyFill="1" applyBorder="1" applyAlignment="1">
      <alignment horizontal="right" readingOrder="2"/>
    </xf>
    <xf numFmtId="3" fontId="57" fillId="0" borderId="0" xfId="11" applyNumberFormat="1" applyFont="1" applyAlignment="1">
      <alignment horizontal="right" readingOrder="2"/>
    </xf>
    <xf numFmtId="165" fontId="90" fillId="0" borderId="1" xfId="1" applyNumberFormat="1" applyFont="1" applyFill="1" applyBorder="1" applyAlignment="1"/>
    <xf numFmtId="169" fontId="100" fillId="0" borderId="23" xfId="1" applyNumberFormat="1" applyFont="1" applyFill="1" applyBorder="1" applyAlignment="1"/>
    <xf numFmtId="169" fontId="57" fillId="0" borderId="28" xfId="0" quotePrefix="1" applyNumberFormat="1" applyFont="1" applyBorder="1" applyAlignment="1">
      <alignment horizontal="right" vertical="center" wrapText="1"/>
    </xf>
    <xf numFmtId="9" fontId="57" fillId="0" borderId="0" xfId="14" applyFont="1" applyFill="1" applyAlignment="1"/>
    <xf numFmtId="175" fontId="57" fillId="0" borderId="0" xfId="0" applyNumberFormat="1" applyFont="1" applyFill="1" applyAlignment="1"/>
    <xf numFmtId="4" fontId="43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57" fillId="0" borderId="0" xfId="78" applyFont="1" applyAlignment="1">
      <alignment horizontal="left" indent="1"/>
    </xf>
    <xf numFmtId="169" fontId="97" fillId="0" borderId="0" xfId="0" applyNumberFormat="1" applyFont="1"/>
    <xf numFmtId="3" fontId="105" fillId="0" borderId="24" xfId="0" applyNumberFormat="1" applyFont="1" applyFill="1" applyBorder="1"/>
    <xf numFmtId="3" fontId="107" fillId="0" borderId="24" xfId="1973" applyNumberFormat="1" applyFont="1" applyBorder="1" applyAlignment="1">
      <alignment horizontal="right" wrapText="1"/>
    </xf>
    <xf numFmtId="3" fontId="81" fillId="0" borderId="24" xfId="1973" applyNumberFormat="1" applyFont="1" applyBorder="1" applyAlignment="1">
      <alignment horizontal="right" wrapText="1"/>
    </xf>
    <xf numFmtId="3" fontId="81" fillId="0" borderId="9" xfId="1973" applyNumberFormat="1" applyFont="1" applyBorder="1" applyAlignment="1">
      <alignment horizontal="right" wrapText="1"/>
    </xf>
    <xf numFmtId="3" fontId="107" fillId="0" borderId="34" xfId="1973" applyNumberFormat="1" applyFont="1" applyBorder="1" applyAlignment="1">
      <alignment horizontal="right" wrapText="1"/>
    </xf>
    <xf numFmtId="3" fontId="107" fillId="0" borderId="35" xfId="1973" applyNumberFormat="1" applyFont="1" applyBorder="1" applyAlignment="1">
      <alignment horizontal="right" wrapText="1"/>
    </xf>
    <xf numFmtId="3" fontId="105" fillId="0" borderId="9" xfId="0" applyNumberFormat="1" applyFont="1" applyFill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105" fillId="0" borderId="2" xfId="73" applyFont="1" applyBorder="1" applyAlignment="1">
      <alignment horizontal="left" vertical="center" wrapText="1" indent="1"/>
    </xf>
    <xf numFmtId="0" fontId="105" fillId="0" borderId="22" xfId="73" applyFont="1" applyBorder="1" applyAlignment="1">
      <alignment horizontal="left" vertical="center" wrapText="1" indent="1"/>
    </xf>
    <xf numFmtId="3" fontId="105" fillId="0" borderId="2" xfId="1974" applyNumberFormat="1" applyFont="1" applyBorder="1" applyAlignment="1">
      <alignment horizontal="left" vertical="center" wrapText="1" indent="1"/>
    </xf>
    <xf numFmtId="3" fontId="105" fillId="0" borderId="2" xfId="1977" applyNumberFormat="1" applyFont="1" applyBorder="1" applyAlignment="1">
      <alignment horizontal="left" vertical="center" wrapText="1" indent="1"/>
    </xf>
    <xf numFmtId="0" fontId="105" fillId="0" borderId="30" xfId="73" applyFont="1" applyBorder="1" applyAlignment="1">
      <alignment horizontal="left" vertical="center" wrapText="1" indent="1"/>
    </xf>
    <xf numFmtId="169" fontId="57" fillId="0" borderId="0" xfId="11" applyNumberFormat="1" applyFont="1" applyBorder="1" applyAlignment="1">
      <alignment horizontal="right"/>
    </xf>
    <xf numFmtId="0" fontId="57" fillId="0" borderId="23" xfId="11" applyFont="1" applyBorder="1" applyAlignment="1"/>
    <xf numFmtId="0" fontId="57" fillId="0" borderId="9" xfId="11" applyFont="1" applyBorder="1" applyAlignment="1"/>
    <xf numFmtId="0" fontId="57" fillId="0" borderId="1" xfId="11" applyFont="1" applyBorder="1" applyAlignment="1"/>
    <xf numFmtId="3" fontId="57" fillId="0" borderId="1" xfId="11" applyNumberFormat="1" applyFont="1" applyBorder="1" applyAlignment="1"/>
    <xf numFmtId="3" fontId="57" fillId="0" borderId="0" xfId="11" applyNumberFormat="1" applyFont="1" applyAlignment="1"/>
    <xf numFmtId="3" fontId="90" fillId="0" borderId="7" xfId="11" applyNumberFormat="1" applyFont="1" applyBorder="1" applyAlignment="1"/>
    <xf numFmtId="3" fontId="90" fillId="0" borderId="1" xfId="11" applyNumberFormat="1" applyFont="1" applyBorder="1" applyAlignment="1"/>
    <xf numFmtId="0" fontId="57" fillId="0" borderId="1" xfId="11" applyFont="1" applyBorder="1" applyAlignment="1">
      <alignment horizontal="left"/>
    </xf>
    <xf numFmtId="3" fontId="57" fillId="0" borderId="0" xfId="11" applyNumberFormat="1" applyFont="1" applyBorder="1" applyAlignment="1"/>
    <xf numFmtId="3" fontId="98" fillId="0" borderId="1" xfId="11" applyNumberFormat="1" applyFont="1" applyBorder="1" applyAlignment="1"/>
    <xf numFmtId="3" fontId="99" fillId="0" borderId="1" xfId="11" applyNumberFormat="1" applyFont="1" applyBorder="1" applyAlignment="1"/>
    <xf numFmtId="3" fontId="99" fillId="0" borderId="0" xfId="11" applyNumberFormat="1" applyFont="1" applyBorder="1" applyAlignment="1"/>
    <xf numFmtId="3" fontId="100" fillId="0" borderId="1" xfId="11" applyNumberFormat="1" applyFont="1" applyBorder="1" applyAlignment="1"/>
    <xf numFmtId="3" fontId="99" fillId="0" borderId="2" xfId="11" applyNumberFormat="1" applyFont="1" applyBorder="1" applyAlignment="1"/>
    <xf numFmtId="169" fontId="57" fillId="0" borderId="1" xfId="78" applyNumberFormat="1" applyFont="1" applyBorder="1" applyAlignment="1"/>
    <xf numFmtId="169" fontId="57" fillId="0" borderId="0" xfId="11" applyNumberFormat="1" applyFont="1" applyBorder="1" applyAlignment="1"/>
    <xf numFmtId="169" fontId="57" fillId="0" borderId="0" xfId="78" applyNumberFormat="1" applyFont="1" applyAlignment="1"/>
    <xf numFmtId="0" fontId="86" fillId="0" borderId="1" xfId="11" applyFont="1" applyBorder="1" applyAlignment="1"/>
    <xf numFmtId="1" fontId="90" fillId="0" borderId="1" xfId="11" applyNumberFormat="1" applyFont="1" applyBorder="1" applyAlignment="1"/>
    <xf numFmtId="0" fontId="86" fillId="0" borderId="23" xfId="11" applyFont="1" applyBorder="1" applyAlignment="1"/>
    <xf numFmtId="3" fontId="99" fillId="0" borderId="23" xfId="11" applyNumberFormat="1" applyFont="1" applyBorder="1" applyAlignment="1"/>
    <xf numFmtId="3" fontId="99" fillId="0" borderId="28" xfId="11" applyNumberFormat="1" applyFont="1" applyBorder="1" applyAlignment="1"/>
    <xf numFmtId="0" fontId="57" fillId="0" borderId="0" xfId="11" applyFont="1" applyAlignment="1"/>
    <xf numFmtId="0" fontId="57" fillId="0" borderId="0" xfId="78" applyFont="1" applyAlignment="1"/>
    <xf numFmtId="3" fontId="57" fillId="0" borderId="0" xfId="78" applyNumberFormat="1" applyFont="1" applyAlignment="1"/>
    <xf numFmtId="3" fontId="99" fillId="0" borderId="2" xfId="11" applyNumberFormat="1" applyFont="1" applyBorder="1" applyAlignment="1">
      <alignment vertical="center"/>
    </xf>
    <xf numFmtId="3" fontId="3" fillId="0" borderId="0" xfId="1972" applyNumberFormat="1"/>
    <xf numFmtId="169" fontId="57" fillId="0" borderId="0" xfId="0" quotePrefix="1" applyNumberFormat="1" applyFont="1" applyBorder="1" applyAlignment="1">
      <alignment horizontal="right" vertical="center"/>
    </xf>
    <xf numFmtId="169" fontId="57" fillId="0" borderId="0" xfId="0" quotePrefix="1" applyNumberFormat="1" applyFont="1" applyBorder="1" applyAlignment="1">
      <alignment horizontal="center" vertical="center" wrapText="1"/>
    </xf>
    <xf numFmtId="169" fontId="57" fillId="0" borderId="0" xfId="0" quotePrefix="1" applyNumberFormat="1" applyFont="1" applyBorder="1" applyAlignment="1">
      <alignment horizontal="right" vertical="center" wrapText="1"/>
    </xf>
    <xf numFmtId="169" fontId="97" fillId="0" borderId="28" xfId="0" applyNumberFormat="1" applyFont="1" applyBorder="1"/>
    <xf numFmtId="17" fontId="57" fillId="0" borderId="28" xfId="0" quotePrefix="1" applyNumberFormat="1" applyFont="1" applyBorder="1" applyAlignment="1">
      <alignment horizontal="center" vertical="center" wrapText="1"/>
    </xf>
    <xf numFmtId="17" fontId="57" fillId="0" borderId="27" xfId="0" quotePrefix="1" applyNumberFormat="1" applyFont="1" applyBorder="1" applyAlignment="1">
      <alignment horizontal="center" vertical="center" wrapText="1"/>
    </xf>
    <xf numFmtId="169" fontId="57" fillId="0" borderId="23" xfId="0" applyNumberFormat="1" applyFont="1" applyBorder="1" applyAlignment="1">
      <alignment horizontal="right" vertical="top"/>
    </xf>
    <xf numFmtId="0" fontId="43" fillId="0" borderId="23" xfId="0" applyFont="1" applyBorder="1" applyAlignment="1">
      <alignment horizontal="left" indent="1"/>
    </xf>
    <xf numFmtId="169" fontId="57" fillId="0" borderId="2" xfId="0" applyNumberFormat="1" applyFont="1" applyBorder="1" applyAlignment="1"/>
    <xf numFmtId="0" fontId="86" fillId="0" borderId="1" xfId="0" applyFont="1" applyBorder="1" applyAlignment="1">
      <alignment horizontal="left" vertical="center" indent="2"/>
    </xf>
    <xf numFmtId="37" fontId="53" fillId="0" borderId="0" xfId="1" applyNumberFormat="1" applyFont="1" applyAlignment="1">
      <alignment vertical="top"/>
    </xf>
    <xf numFmtId="0" fontId="43" fillId="0" borderId="0" xfId="0" applyFont="1" applyBorder="1" applyAlignment="1">
      <alignment horizontal="left" vertical="center" wrapText="1"/>
    </xf>
    <xf numFmtId="4" fontId="43" fillId="0" borderId="0" xfId="0" applyNumberFormat="1" applyFont="1" applyBorder="1" applyAlignment="1">
      <alignment horizontal="left" vertical="center" wrapText="1"/>
    </xf>
    <xf numFmtId="169" fontId="117" fillId="0" borderId="0" xfId="0" applyNumberFormat="1" applyFont="1" applyFill="1" applyBorder="1"/>
    <xf numFmtId="0" fontId="53" fillId="0" borderId="0" xfId="0" applyFont="1" applyAlignment="1">
      <alignment horizontal="center" vertical="center" wrapText="1"/>
    </xf>
    <xf numFmtId="176" fontId="43" fillId="0" borderId="0" xfId="78" applyNumberFormat="1"/>
    <xf numFmtId="0" fontId="97" fillId="0" borderId="1" xfId="0" applyFont="1" applyBorder="1" applyAlignment="1">
      <alignment horizontal="left" indent="1"/>
    </xf>
    <xf numFmtId="0" fontId="57" fillId="0" borderId="0" xfId="11" applyFont="1" applyBorder="1" applyAlignment="1"/>
    <xf numFmtId="3" fontId="57" fillId="0" borderId="0" xfId="11" applyNumberFormat="1" applyFont="1" applyBorder="1" applyAlignment="1">
      <alignment horizontal="right"/>
    </xf>
    <xf numFmtId="169" fontId="57" fillId="0" borderId="0" xfId="78" applyNumberFormat="1" applyFont="1" applyBorder="1" applyAlignment="1"/>
    <xf numFmtId="3" fontId="99" fillId="0" borderId="0" xfId="11" applyNumberFormat="1" applyFont="1" applyBorder="1" applyAlignment="1">
      <alignment vertical="center"/>
    </xf>
    <xf numFmtId="3" fontId="57" fillId="0" borderId="7" xfId="11" applyNumberFormat="1" applyFont="1" applyBorder="1" applyAlignment="1"/>
    <xf numFmtId="169" fontId="57" fillId="0" borderId="1" xfId="11" applyNumberFormat="1" applyFont="1" applyBorder="1" applyAlignment="1"/>
    <xf numFmtId="169" fontId="57" fillId="0" borderId="1" xfId="11" applyNumberFormat="1" applyFont="1" applyBorder="1" applyAlignment="1">
      <alignment horizontal="right"/>
    </xf>
    <xf numFmtId="3" fontId="57" fillId="0" borderId="1" xfId="11" applyNumberFormat="1" applyFont="1" applyBorder="1" applyAlignment="1">
      <alignment horizontal="right" readingOrder="2"/>
    </xf>
    <xf numFmtId="0" fontId="57" fillId="0" borderId="0" xfId="11" applyFont="1" applyBorder="1" applyAlignment="1">
      <alignment horizontal="right"/>
    </xf>
    <xf numFmtId="169" fontId="98" fillId="0" borderId="1" xfId="78" applyNumberFormat="1" applyFont="1" applyBorder="1" applyAlignment="1"/>
    <xf numFmtId="0" fontId="98" fillId="0" borderId="1" xfId="78" applyFont="1" applyBorder="1" applyAlignment="1"/>
    <xf numFmtId="169" fontId="100" fillId="0" borderId="1" xfId="78" applyNumberFormat="1" applyFont="1" applyBorder="1" applyAlignment="1"/>
    <xf numFmtId="0" fontId="100" fillId="0" borderId="1" xfId="78" applyFont="1" applyBorder="1" applyAlignment="1"/>
    <xf numFmtId="0" fontId="57" fillId="0" borderId="1" xfId="78" applyFont="1" applyBorder="1" applyAlignment="1"/>
    <xf numFmtId="0" fontId="98" fillId="0" borderId="1" xfId="78" applyFont="1" applyBorder="1" applyAlignment="1">
      <alignment horizontal="right"/>
    </xf>
    <xf numFmtId="0" fontId="57" fillId="0" borderId="1" xfId="78" applyFont="1" applyBorder="1" applyAlignment="1">
      <alignment horizontal="right"/>
    </xf>
    <xf numFmtId="169" fontId="100" fillId="0" borderId="1" xfId="78" applyNumberFormat="1" applyFont="1" applyBorder="1" applyAlignment="1">
      <alignment horizontal="right"/>
    </xf>
    <xf numFmtId="169" fontId="90" fillId="0" borderId="1" xfId="78" applyNumberFormat="1" applyFont="1" applyBorder="1" applyAlignment="1"/>
    <xf numFmtId="169" fontId="98" fillId="0" borderId="1" xfId="78" applyNumberFormat="1" applyFont="1" applyBorder="1" applyAlignment="1">
      <alignment horizontal="right"/>
    </xf>
    <xf numFmtId="0" fontId="124" fillId="0" borderId="1" xfId="78" applyFont="1" applyBorder="1" applyAlignment="1"/>
    <xf numFmtId="169" fontId="100" fillId="0" borderId="1" xfId="78" applyNumberFormat="1" applyFont="1" applyBorder="1" applyAlignment="1">
      <alignment vertical="center"/>
    </xf>
    <xf numFmtId="0" fontId="57" fillId="0" borderId="0" xfId="78" applyFont="1" applyAlignment="1">
      <alignment vertical="center"/>
    </xf>
    <xf numFmtId="0" fontId="57" fillId="0" borderId="7" xfId="78" applyFont="1" applyBorder="1" applyAlignment="1"/>
    <xf numFmtId="176" fontId="57" fillId="0" borderId="0" xfId="78" applyNumberFormat="1" applyFont="1" applyAlignment="1"/>
    <xf numFmtId="169" fontId="100" fillId="0" borderId="23" xfId="78" applyNumberFormat="1" applyFont="1" applyBorder="1" applyAlignment="1"/>
    <xf numFmtId="0" fontId="125" fillId="0" borderId="0" xfId="0" applyFont="1"/>
    <xf numFmtId="0" fontId="53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92" fillId="0" borderId="28" xfId="0" applyNumberFormat="1" applyFont="1" applyBorder="1" applyAlignment="1"/>
    <xf numFmtId="3" fontId="57" fillId="0" borderId="27" xfId="1" applyNumberFormat="1" applyFont="1" applyBorder="1"/>
    <xf numFmtId="169" fontId="117" fillId="0" borderId="37" xfId="0" applyNumberFormat="1" applyFont="1" applyFill="1" applyBorder="1"/>
    <xf numFmtId="0" fontId="0" fillId="0" borderId="0" xfId="0" applyAlignment="1">
      <alignment horizontal="left"/>
    </xf>
    <xf numFmtId="169" fontId="120" fillId="0" borderId="0" xfId="78" applyNumberFormat="1" applyFont="1"/>
    <xf numFmtId="169" fontId="57" fillId="0" borderId="0" xfId="0" applyNumberFormat="1" applyFont="1" applyAlignment="1">
      <alignment horizontal="right"/>
    </xf>
    <xf numFmtId="4" fontId="53" fillId="0" borderId="0" xfId="0" applyNumberFormat="1" applyFont="1" applyBorder="1" applyAlignment="1">
      <alignment horizontal="right" vertical="center"/>
    </xf>
    <xf numFmtId="169" fontId="98" fillId="0" borderId="4" xfId="78" applyNumberFormat="1" applyFont="1" applyBorder="1" applyAlignment="1">
      <alignment vertical="center"/>
    </xf>
    <xf numFmtId="3" fontId="98" fillId="0" borderId="1" xfId="0" applyNumberFormat="1" applyFont="1" applyBorder="1" applyAlignment="1">
      <alignment horizontal="right" vertical="center" readingOrder="2"/>
    </xf>
    <xf numFmtId="9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69" fontId="43" fillId="0" borderId="0" xfId="0" applyNumberFormat="1" applyFont="1" applyAlignment="1">
      <alignment vertical="top"/>
    </xf>
    <xf numFmtId="169" fontId="57" fillId="0" borderId="0" xfId="0" applyNumberFormat="1" applyFont="1" applyAlignment="1">
      <alignment vertical="top"/>
    </xf>
    <xf numFmtId="14" fontId="43" fillId="0" borderId="0" xfId="0" applyNumberFormat="1" applyFont="1" applyAlignment="1">
      <alignment horizontal="right" vertical="top"/>
    </xf>
    <xf numFmtId="169" fontId="77" fillId="0" borderId="0" xfId="0" applyNumberFormat="1" applyFont="1" applyFill="1" applyBorder="1"/>
    <xf numFmtId="1" fontId="122" fillId="0" borderId="36" xfId="78" applyNumberFormat="1" applyFont="1" applyBorder="1" applyAlignment="1">
      <alignment horizontal="right" shrinkToFit="1"/>
    </xf>
    <xf numFmtId="3" fontId="98" fillId="0" borderId="1" xfId="78" applyNumberFormat="1" applyFont="1" applyBorder="1" applyAlignment="1"/>
    <xf numFmtId="3" fontId="100" fillId="0" borderId="1" xfId="78" applyNumberFormat="1" applyFont="1" applyBorder="1" applyAlignment="1"/>
    <xf numFmtId="0" fontId="126" fillId="0" borderId="0" xfId="0" applyFont="1"/>
    <xf numFmtId="169" fontId="0" fillId="0" borderId="0" xfId="0" applyNumberFormat="1" applyAlignment="1">
      <alignment horizontal="left"/>
    </xf>
    <xf numFmtId="14" fontId="123" fillId="0" borderId="2" xfId="0" applyNumberFormat="1" applyFont="1" applyFill="1" applyBorder="1" applyAlignment="1">
      <alignment horizontal="left" vertical="center" wrapText="1"/>
    </xf>
    <xf numFmtId="3" fontId="123" fillId="0" borderId="0" xfId="0" applyNumberFormat="1" applyFont="1" applyFill="1" applyBorder="1" applyAlignment="1">
      <alignment horizontal="left" vertical="center" wrapText="1"/>
    </xf>
    <xf numFmtId="0" fontId="123" fillId="0" borderId="0" xfId="0" applyFont="1" applyFill="1" applyBorder="1" applyAlignment="1">
      <alignment horizontal="left" vertical="center" wrapText="1"/>
    </xf>
    <xf numFmtId="169" fontId="57" fillId="0" borderId="0" xfId="0" quotePrefix="1" applyNumberFormat="1" applyFont="1" applyAlignment="1"/>
    <xf numFmtId="0" fontId="43" fillId="0" borderId="0" xfId="78" applyBorder="1"/>
    <xf numFmtId="1" fontId="92" fillId="0" borderId="0" xfId="14" applyNumberFormat="1" applyFont="1" applyFill="1" applyBorder="1" applyAlignment="1">
      <alignment horizontal="right" vertical="center" readingOrder="2"/>
    </xf>
    <xf numFmtId="3" fontId="84" fillId="0" borderId="0" xfId="0" applyNumberFormat="1" applyFont="1" applyBorder="1" applyAlignment="1">
      <alignment horizontal="right" vertical="center" readingOrder="2"/>
    </xf>
    <xf numFmtId="2" fontId="59" fillId="0" borderId="0" xfId="0" applyNumberFormat="1" applyFont="1" applyBorder="1" applyAlignment="1">
      <alignment horizontal="center" vertical="center"/>
    </xf>
    <xf numFmtId="2" fontId="82" fillId="0" borderId="0" xfId="0" applyNumberFormat="1" applyFont="1" applyBorder="1" applyAlignment="1">
      <alignment horizontal="center" wrapText="1"/>
    </xf>
    <xf numFmtId="2" fontId="89" fillId="0" borderId="0" xfId="0" applyNumberFormat="1" applyFont="1" applyBorder="1" applyAlignment="1">
      <alignment horizontal="center" vertical="center"/>
    </xf>
    <xf numFmtId="2" fontId="84" fillId="0" borderId="0" xfId="0" applyNumberFormat="1" applyFont="1" applyBorder="1" applyAlignment="1">
      <alignment vertical="center"/>
    </xf>
    <xf numFmtId="2" fontId="92" fillId="0" borderId="0" xfId="14" applyNumberFormat="1" applyFont="1" applyFill="1" applyBorder="1" applyAlignment="1">
      <alignment horizontal="right" vertical="center" readingOrder="2"/>
    </xf>
    <xf numFmtId="169" fontId="43" fillId="0" borderId="0" xfId="0" applyNumberFormat="1" applyFont="1" applyFill="1" applyBorder="1" applyAlignment="1">
      <alignment wrapText="1"/>
    </xf>
    <xf numFmtId="0" fontId="79" fillId="0" borderId="0" xfId="0" applyFont="1" applyAlignment="1">
      <alignment horizontal="left" vertical="top" wrapText="1"/>
    </xf>
    <xf numFmtId="0" fontId="88" fillId="0" borderId="0" xfId="0" applyFont="1" applyAlignment="1">
      <alignment horizontal="center" vertical="top" wrapText="1"/>
    </xf>
    <xf numFmtId="49" fontId="88" fillId="0" borderId="0" xfId="0" applyNumberFormat="1" applyFont="1" applyAlignment="1">
      <alignment horizontal="center" vertical="center" wrapText="1"/>
    </xf>
    <xf numFmtId="0" fontId="57" fillId="0" borderId="4" xfId="0" applyFont="1" applyFill="1" applyBorder="1" applyAlignment="1">
      <alignment horizontal="left" vertical="center" wrapText="1"/>
    </xf>
    <xf numFmtId="0" fontId="43" fillId="0" borderId="0" xfId="78" applyAlignment="1">
      <alignment vertical="center"/>
    </xf>
    <xf numFmtId="0" fontId="47" fillId="0" borderId="28" xfId="0" applyFont="1" applyBorder="1" applyAlignment="1">
      <alignment horizontal="left" vertical="center"/>
    </xf>
    <xf numFmtId="0" fontId="89" fillId="0" borderId="0" xfId="0" applyFont="1" applyBorder="1" applyAlignment="1"/>
    <xf numFmtId="0" fontId="47" fillId="0" borderId="0" xfId="0" applyFont="1" applyAlignment="1">
      <alignment horizontal="left" vertical="center"/>
    </xf>
    <xf numFmtId="0" fontId="57" fillId="0" borderId="8" xfId="0" applyFont="1" applyBorder="1" applyAlignment="1">
      <alignment horizontal="center" vertical="top" wrapText="1"/>
    </xf>
    <xf numFmtId="0" fontId="0" fillId="0" borderId="28" xfId="0" applyBorder="1" applyAlignment="1">
      <alignment vertical="center"/>
    </xf>
    <xf numFmtId="0" fontId="57" fillId="0" borderId="22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7" fontId="57" fillId="0" borderId="22" xfId="0" quotePrefix="1" applyNumberFormat="1" applyFont="1" applyBorder="1" applyAlignment="1">
      <alignment horizontal="center" vertical="center"/>
    </xf>
    <xf numFmtId="15" fontId="46" fillId="0" borderId="22" xfId="0" applyNumberFormat="1" applyFont="1" applyBorder="1" applyAlignment="1">
      <alignment horizontal="center" vertical="center"/>
    </xf>
    <xf numFmtId="15" fontId="59" fillId="0" borderId="27" xfId="0" applyNumberFormat="1" applyFont="1" applyBorder="1" applyAlignment="1">
      <alignment horizontal="center" vertical="center"/>
    </xf>
    <xf numFmtId="15" fontId="59" fillId="0" borderId="23" xfId="0" applyNumberFormat="1" applyFont="1" applyBorder="1" applyAlignment="1">
      <alignment horizontal="center" vertical="center"/>
    </xf>
    <xf numFmtId="0" fontId="57" fillId="0" borderId="22" xfId="0" applyFont="1" applyBorder="1" applyAlignment="1">
      <alignment vertical="center"/>
    </xf>
    <xf numFmtId="3" fontId="57" fillId="0" borderId="28" xfId="0" applyNumberFormat="1" applyFont="1" applyBorder="1" applyAlignment="1">
      <alignment vertical="center" readingOrder="2"/>
    </xf>
    <xf numFmtId="3" fontId="57" fillId="0" borderId="22" xfId="1" applyNumberFormat="1" applyFont="1" applyFill="1" applyBorder="1" applyAlignment="1">
      <alignment horizontal="right" vertical="center" readingOrder="2"/>
    </xf>
    <xf numFmtId="3" fontId="84" fillId="0" borderId="27" xfId="1" applyNumberFormat="1" applyFont="1" applyFill="1" applyBorder="1" applyAlignment="1">
      <alignment horizontal="right" vertical="center" readingOrder="2"/>
    </xf>
    <xf numFmtId="9" fontId="92" fillId="0" borderId="23" xfId="14" applyFont="1" applyFill="1" applyBorder="1" applyAlignment="1">
      <alignment horizontal="right" vertical="center" readingOrder="2"/>
    </xf>
    <xf numFmtId="3" fontId="57" fillId="0" borderId="22" xfId="1" quotePrefix="1" applyNumberFormat="1" applyFont="1" applyFill="1" applyBorder="1" applyAlignment="1">
      <alignment vertical="center" readingOrder="2"/>
    </xf>
    <xf numFmtId="3" fontId="84" fillId="0" borderId="27" xfId="1" applyNumberFormat="1" applyFont="1" applyBorder="1" applyAlignment="1">
      <alignment horizontal="right" vertical="center" readingOrder="2"/>
    </xf>
    <xf numFmtId="9" fontId="92" fillId="0" borderId="23" xfId="14" applyFont="1" applyBorder="1" applyAlignment="1">
      <alignment horizontal="right" vertical="center" readingOrder="2"/>
    </xf>
    <xf numFmtId="0" fontId="43" fillId="0" borderId="23" xfId="0" applyFont="1" applyBorder="1" applyAlignment="1">
      <alignment horizontal="center" vertical="center"/>
    </xf>
    <xf numFmtId="0" fontId="57" fillId="0" borderId="22" xfId="0" applyFont="1" applyBorder="1" applyAlignment="1"/>
    <xf numFmtId="169" fontId="57" fillId="0" borderId="22" xfId="0" applyNumberFormat="1" applyFont="1" applyBorder="1" applyAlignment="1">
      <alignment readingOrder="1"/>
    </xf>
    <xf numFmtId="3" fontId="57" fillId="0" borderId="27" xfId="0" applyNumberFormat="1" applyFont="1" applyBorder="1" applyAlignment="1">
      <alignment readingOrder="1"/>
    </xf>
    <xf numFmtId="9" fontId="57" fillId="0" borderId="23" xfId="0" applyNumberFormat="1" applyFont="1" applyBorder="1" applyAlignment="1">
      <alignment readingOrder="1"/>
    </xf>
    <xf numFmtId="0" fontId="57" fillId="0" borderId="22" xfId="0" applyFont="1" applyFill="1" applyBorder="1" applyAlignment="1">
      <alignment vertical="top"/>
    </xf>
    <xf numFmtId="0" fontId="48" fillId="0" borderId="28" xfId="0" applyFont="1" applyBorder="1" applyAlignment="1">
      <alignment vertical="center"/>
    </xf>
    <xf numFmtId="3" fontId="57" fillId="0" borderId="22" xfId="0" applyNumberFormat="1" applyFont="1" applyBorder="1" applyAlignment="1">
      <alignment horizontal="right"/>
    </xf>
    <xf numFmtId="0" fontId="43" fillId="0" borderId="23" xfId="0" applyFont="1" applyBorder="1" applyAlignment="1">
      <alignment horizontal="center" vertical="top"/>
    </xf>
    <xf numFmtId="0" fontId="57" fillId="0" borderId="23" xfId="0" applyFont="1" applyBorder="1" applyAlignment="1">
      <alignment vertical="top"/>
    </xf>
    <xf numFmtId="3" fontId="57" fillId="0" borderId="22" xfId="0" applyNumberFormat="1" applyFont="1" applyBorder="1" applyAlignment="1">
      <alignment horizontal="right" vertical="top" readingOrder="1"/>
    </xf>
    <xf numFmtId="3" fontId="57" fillId="0" borderId="27" xfId="0" applyNumberFormat="1" applyFont="1" applyBorder="1" applyAlignment="1">
      <alignment horizontal="right" vertical="top" readingOrder="1"/>
    </xf>
    <xf numFmtId="9" fontId="57" fillId="0" borderId="23" xfId="0" applyNumberFormat="1" applyFont="1" applyBorder="1" applyAlignment="1">
      <alignment horizontal="right" vertical="top" readingOrder="1"/>
    </xf>
    <xf numFmtId="0" fontId="79" fillId="0" borderId="0" xfId="0" applyFont="1" applyAlignment="1">
      <alignment horizontal="left" vertical="top" wrapText="1"/>
    </xf>
    <xf numFmtId="0" fontId="85" fillId="0" borderId="0" xfId="0" applyFont="1" applyAlignment="1">
      <alignment horizontal="center" vertical="top" wrapText="1"/>
    </xf>
    <xf numFmtId="0" fontId="80" fillId="0" borderId="0" xfId="0" applyFont="1" applyAlignment="1">
      <alignment horizontal="center" vertical="top" wrapText="1"/>
    </xf>
    <xf numFmtId="0" fontId="88" fillId="0" borderId="0" xfId="0" applyFont="1" applyAlignment="1">
      <alignment horizontal="center" vertical="top" wrapText="1"/>
    </xf>
    <xf numFmtId="49" fontId="88" fillId="0" borderId="0" xfId="0" applyNumberFormat="1" applyFont="1" applyAlignment="1">
      <alignment horizontal="center" vertical="center" wrapText="1"/>
    </xf>
    <xf numFmtId="0" fontId="57" fillId="0" borderId="2" xfId="0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horizontal="left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0" xfId="0" applyFont="1" applyBorder="1" applyAlignment="1">
      <alignment vertical="center" wrapText="1"/>
    </xf>
    <xf numFmtId="0" fontId="89" fillId="0" borderId="4" xfId="0" applyFont="1" applyBorder="1" applyAlignment="1">
      <alignment vertical="center" wrapText="1"/>
    </xf>
    <xf numFmtId="165" fontId="89" fillId="0" borderId="2" xfId="0" applyNumberFormat="1" applyFont="1" applyFill="1" applyBorder="1" applyAlignment="1">
      <alignment horizontal="center" vertical="center" wrapText="1"/>
    </xf>
    <xf numFmtId="165" fontId="89" fillId="0" borderId="4" xfId="0" applyNumberFormat="1" applyFont="1" applyFill="1" applyBorder="1" applyAlignment="1">
      <alignment horizontal="center" vertical="center" wrapText="1"/>
    </xf>
    <xf numFmtId="0" fontId="86" fillId="0" borderId="5" xfId="0" quotePrefix="1" applyNumberFormat="1" applyFont="1" applyBorder="1" applyAlignment="1">
      <alignment horizontal="center" vertical="center" wrapText="1"/>
    </xf>
    <xf numFmtId="0" fontId="86" fillId="0" borderId="6" xfId="0" quotePrefix="1" applyNumberFormat="1" applyFont="1" applyBorder="1" applyAlignment="1">
      <alignment horizontal="center" vertical="center" wrapText="1"/>
    </xf>
    <xf numFmtId="0" fontId="86" fillId="0" borderId="3" xfId="0" quotePrefix="1" applyNumberFormat="1" applyFont="1" applyBorder="1" applyAlignment="1">
      <alignment horizontal="center" vertical="center" wrapText="1"/>
    </xf>
    <xf numFmtId="0" fontId="89" fillId="0" borderId="0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165" fontId="89" fillId="0" borderId="2" xfId="0" applyNumberFormat="1" applyFont="1" applyBorder="1" applyAlignment="1">
      <alignment horizontal="center" vertical="center"/>
    </xf>
    <xf numFmtId="165" fontId="89" fillId="0" borderId="4" xfId="0" applyNumberFormat="1" applyFont="1" applyBorder="1" applyAlignment="1">
      <alignment horizontal="center" vertical="center"/>
    </xf>
    <xf numFmtId="0" fontId="57" fillId="0" borderId="0" xfId="78" applyFont="1" applyAlignment="1">
      <alignment horizontal="left" wrapText="1"/>
    </xf>
    <xf numFmtId="0" fontId="47" fillId="0" borderId="28" xfId="78" applyFont="1" applyBorder="1" applyAlignment="1">
      <alignment horizontal="left" vertical="center"/>
    </xf>
    <xf numFmtId="0" fontId="43" fillId="0" borderId="0" xfId="78" applyAlignment="1">
      <alignment vertical="center"/>
    </xf>
    <xf numFmtId="0" fontId="43" fillId="0" borderId="28" xfId="78" applyBorder="1" applyAlignment="1">
      <alignment vertical="center"/>
    </xf>
    <xf numFmtId="17" fontId="89" fillId="0" borderId="5" xfId="78" quotePrefix="1" applyNumberFormat="1" applyFont="1" applyBorder="1" applyAlignment="1">
      <alignment horizontal="center" vertical="center"/>
    </xf>
    <xf numFmtId="17" fontId="89" fillId="0" borderId="6" xfId="78" quotePrefix="1" applyNumberFormat="1" applyFont="1" applyBorder="1" applyAlignment="1">
      <alignment horizontal="center" vertical="center"/>
    </xf>
    <xf numFmtId="17" fontId="89" fillId="0" borderId="3" xfId="78" quotePrefix="1" applyNumberFormat="1" applyFont="1" applyBorder="1" applyAlignment="1">
      <alignment horizontal="center" vertical="center"/>
    </xf>
    <xf numFmtId="0" fontId="57" fillId="0" borderId="0" xfId="78" applyFont="1" applyFill="1" applyAlignment="1">
      <alignment horizontal="left" wrapText="1"/>
    </xf>
    <xf numFmtId="0" fontId="57" fillId="0" borderId="0" xfId="0" applyFont="1" applyFill="1" applyAlignment="1">
      <alignment horizontal="left" wrapText="1"/>
    </xf>
    <xf numFmtId="0" fontId="57" fillId="0" borderId="8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6" xfId="0" applyFont="1" applyBorder="1" applyAlignment="1">
      <alignment horizontal="center" vertical="center" wrapText="1"/>
    </xf>
    <xf numFmtId="0" fontId="57" fillId="0" borderId="8" xfId="0" quotePrefix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89" fillId="0" borderId="8" xfId="78" applyFont="1" applyBorder="1" applyAlignment="1">
      <alignment horizontal="center" vertical="center" wrapText="1"/>
    </xf>
    <xf numFmtId="0" fontId="89" fillId="0" borderId="10" xfId="78" applyFont="1" applyBorder="1" applyAlignment="1">
      <alignment horizontal="center" vertical="center" wrapText="1"/>
    </xf>
    <xf numFmtId="0" fontId="89" fillId="0" borderId="11" xfId="78" applyFont="1" applyBorder="1" applyAlignment="1">
      <alignment horizontal="center" vertical="center" wrapText="1"/>
    </xf>
    <xf numFmtId="0" fontId="57" fillId="0" borderId="0" xfId="78" applyFont="1" applyAlignment="1">
      <alignment horizontal="left" vertical="top" wrapText="1"/>
    </xf>
    <xf numFmtId="0" fontId="57" fillId="0" borderId="0" xfId="78" applyFont="1" applyAlignment="1">
      <alignment vertical="top" wrapText="1"/>
    </xf>
    <xf numFmtId="0" fontId="89" fillId="0" borderId="2" xfId="0" applyFont="1" applyBorder="1" applyAlignment="1">
      <alignment horizontal="center" wrapText="1"/>
    </xf>
    <xf numFmtId="0" fontId="89" fillId="0" borderId="0" xfId="0" applyFont="1" applyBorder="1" applyAlignment="1">
      <alignment horizontal="center" wrapText="1"/>
    </xf>
    <xf numFmtId="0" fontId="89" fillId="0" borderId="4" xfId="0" applyFont="1" applyBorder="1" applyAlignment="1">
      <alignment horizontal="center" wrapText="1"/>
    </xf>
    <xf numFmtId="0" fontId="57" fillId="0" borderId="8" xfId="0" quotePrefix="1" applyFont="1" applyFill="1" applyBorder="1" applyAlignment="1">
      <alignment horizontal="center" vertical="center"/>
    </xf>
    <xf numFmtId="0" fontId="57" fillId="0" borderId="10" xfId="0" quotePrefix="1" applyFont="1" applyFill="1" applyBorder="1" applyAlignment="1">
      <alignment horizontal="center" vertical="center"/>
    </xf>
    <xf numFmtId="0" fontId="57" fillId="0" borderId="11" xfId="0" quotePrefix="1" applyFont="1" applyFill="1" applyBorder="1" applyAlignment="1">
      <alignment horizontal="center" vertical="center"/>
    </xf>
    <xf numFmtId="0" fontId="57" fillId="0" borderId="0" xfId="0" applyFont="1" applyAlignment="1">
      <alignment vertical="top" wrapText="1"/>
    </xf>
    <xf numFmtId="17" fontId="57" fillId="0" borderId="8" xfId="0" quotePrefix="1" applyNumberFormat="1" applyFont="1" applyBorder="1" applyAlignment="1">
      <alignment horizontal="center" vertical="center"/>
    </xf>
    <xf numFmtId="17" fontId="57" fillId="0" borderId="11" xfId="0" quotePrefix="1" applyNumberFormat="1" applyFont="1" applyBorder="1" applyAlignment="1">
      <alignment horizontal="center" vertical="center"/>
    </xf>
    <xf numFmtId="0" fontId="47" fillId="0" borderId="28" xfId="0" applyFont="1" applyBorder="1" applyAlignment="1">
      <alignment horizontal="left" vertical="center"/>
    </xf>
    <xf numFmtId="0" fontId="57" fillId="0" borderId="8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 vertical="top" wrapText="1"/>
    </xf>
    <xf numFmtId="0" fontId="89" fillId="0" borderId="2" xfId="0" applyFont="1" applyFill="1" applyBorder="1" applyAlignment="1">
      <alignment horizontal="center"/>
    </xf>
    <xf numFmtId="0" fontId="89" fillId="0" borderId="0" xfId="0" applyFont="1" applyBorder="1" applyAlignment="1"/>
    <xf numFmtId="0" fontId="47" fillId="0" borderId="28" xfId="0" applyFont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"/>
    </xf>
    <xf numFmtId="0" fontId="89" fillId="0" borderId="31" xfId="0" applyFont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center" wrapText="1"/>
    </xf>
    <xf numFmtId="0" fontId="89" fillId="0" borderId="33" xfId="0" applyFont="1" applyBorder="1" applyAlignment="1">
      <alignment horizontal="center" vertical="center" wrapText="1"/>
    </xf>
    <xf numFmtId="0" fontId="47" fillId="0" borderId="28" xfId="11" applyFont="1" applyBorder="1" applyAlignment="1">
      <alignment vertical="center" wrapText="1"/>
    </xf>
    <xf numFmtId="0" fontId="43" fillId="0" borderId="28" xfId="78" applyBorder="1" applyAlignment="1">
      <alignment vertical="center" wrapText="1"/>
    </xf>
    <xf numFmtId="0" fontId="115" fillId="0" borderId="8" xfId="78" quotePrefix="1" applyFont="1" applyBorder="1" applyAlignment="1">
      <alignment horizontal="center" wrapText="1"/>
    </xf>
    <xf numFmtId="0" fontId="115" fillId="0" borderId="10" xfId="78" quotePrefix="1" applyFont="1" applyBorder="1" applyAlignment="1">
      <alignment horizontal="center" wrapText="1"/>
    </xf>
    <xf numFmtId="0" fontId="115" fillId="0" borderId="11" xfId="78" quotePrefix="1" applyFont="1" applyBorder="1" applyAlignment="1">
      <alignment horizontal="center" wrapText="1"/>
    </xf>
    <xf numFmtId="0" fontId="59" fillId="0" borderId="5" xfId="78" quotePrefix="1" applyFont="1" applyBorder="1" applyAlignment="1">
      <alignment horizontal="center" wrapText="1"/>
    </xf>
    <xf numFmtId="0" fontId="59" fillId="0" borderId="6" xfId="78" quotePrefix="1" applyFont="1" applyBorder="1" applyAlignment="1">
      <alignment horizontal="center" wrapText="1"/>
    </xf>
    <xf numFmtId="0" fontId="59" fillId="0" borderId="3" xfId="78" quotePrefix="1" applyFont="1" applyBorder="1" applyAlignment="1">
      <alignment horizontal="center" wrapText="1"/>
    </xf>
    <xf numFmtId="0" fontId="86" fillId="0" borderId="28" xfId="11" applyFont="1" applyBorder="1" applyAlignment="1">
      <alignment vertical="center" wrapText="1"/>
    </xf>
    <xf numFmtId="0" fontId="57" fillId="0" borderId="28" xfId="78" applyFont="1" applyBorder="1" applyAlignment="1">
      <alignment vertical="center" wrapText="1"/>
    </xf>
    <xf numFmtId="0" fontId="103" fillId="0" borderId="8" xfId="78" quotePrefix="1" applyFont="1" applyBorder="1" applyAlignment="1">
      <alignment horizontal="center" wrapText="1"/>
    </xf>
    <xf numFmtId="0" fontId="103" fillId="0" borderId="10" xfId="78" quotePrefix="1" applyFont="1" applyBorder="1" applyAlignment="1">
      <alignment horizontal="center" wrapText="1"/>
    </xf>
    <xf numFmtId="0" fontId="103" fillId="0" borderId="11" xfId="78" quotePrefix="1" applyFont="1" applyBorder="1" applyAlignment="1">
      <alignment horizontal="center" wrapText="1"/>
    </xf>
    <xf numFmtId="0" fontId="90" fillId="0" borderId="5" xfId="78" quotePrefix="1" applyFont="1" applyBorder="1" applyAlignment="1">
      <alignment horizontal="center" wrapText="1"/>
    </xf>
    <xf numFmtId="0" fontId="90" fillId="0" borderId="6" xfId="78" quotePrefix="1" applyFont="1" applyBorder="1" applyAlignment="1">
      <alignment horizontal="center" wrapText="1"/>
    </xf>
    <xf numFmtId="0" fontId="107" fillId="0" borderId="0" xfId="1981" applyFont="1" applyAlignment="1">
      <alignment horizontal="left" wrapText="1"/>
    </xf>
    <xf numFmtId="0" fontId="111" fillId="0" borderId="27" xfId="73" applyFont="1" applyBorder="1" applyAlignment="1">
      <alignment horizontal="left" vertical="center"/>
    </xf>
    <xf numFmtId="0" fontId="111" fillId="0" borderId="23" xfId="73" applyFont="1" applyBorder="1" applyAlignment="1">
      <alignment horizontal="left" vertical="center"/>
    </xf>
    <xf numFmtId="0" fontId="111" fillId="0" borderId="22" xfId="73" applyFont="1" applyBorder="1" applyAlignment="1">
      <alignment horizontal="left" vertical="center"/>
    </xf>
    <xf numFmtId="0" fontId="108" fillId="0" borderId="9" xfId="73" applyFont="1" applyBorder="1" applyAlignment="1">
      <alignment horizontal="center" wrapText="1"/>
    </xf>
    <xf numFmtId="0" fontId="106" fillId="0" borderId="9" xfId="73" applyFont="1" applyBorder="1" applyAlignment="1">
      <alignment horizontal="center" vertical="center" wrapText="1"/>
    </xf>
    <xf numFmtId="0" fontId="109" fillId="0" borderId="9" xfId="73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79" fillId="0" borderId="0" xfId="0" applyFont="1" applyAlignment="1">
      <alignment vertical="center"/>
    </xf>
    <xf numFmtId="17" fontId="89" fillId="0" borderId="5" xfId="0" quotePrefix="1" applyNumberFormat="1" applyFont="1" applyBorder="1" applyAlignment="1">
      <alignment horizontal="center" vertical="center"/>
    </xf>
    <xf numFmtId="17" fontId="89" fillId="0" borderId="6" xfId="0" quotePrefix="1" applyNumberFormat="1" applyFont="1" applyBorder="1" applyAlignment="1">
      <alignment horizontal="center" vertical="center"/>
    </xf>
    <xf numFmtId="17" fontId="89" fillId="0" borderId="3" xfId="0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left" wrapText="1"/>
    </xf>
    <xf numFmtId="0" fontId="89" fillId="0" borderId="5" xfId="0" applyFont="1" applyBorder="1" applyAlignment="1">
      <alignment horizontal="center" wrapText="1"/>
    </xf>
    <xf numFmtId="0" fontId="89" fillId="0" borderId="6" xfId="0" applyFont="1" applyBorder="1" applyAlignment="1">
      <alignment horizontal="center" wrapText="1"/>
    </xf>
    <xf numFmtId="0" fontId="89" fillId="0" borderId="3" xfId="0" applyFont="1" applyBorder="1" applyAlignment="1">
      <alignment horizont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0" xfId="0" applyFont="1" applyBorder="1" applyAlignment="1">
      <alignment horizontal="center" vertical="top" wrapText="1"/>
    </xf>
    <xf numFmtId="0" fontId="89" fillId="0" borderId="4" xfId="0" applyFont="1" applyBorder="1" applyAlignment="1">
      <alignment horizontal="center" vertical="top" wrapText="1"/>
    </xf>
    <xf numFmtId="0" fontId="57" fillId="0" borderId="8" xfId="0" quotePrefix="1" applyFont="1" applyFill="1" applyBorder="1" applyAlignment="1">
      <alignment horizontal="center" vertical="top"/>
    </xf>
    <xf numFmtId="0" fontId="57" fillId="0" borderId="10" xfId="0" quotePrefix="1" applyFont="1" applyFill="1" applyBorder="1" applyAlignment="1">
      <alignment horizontal="center" vertical="top"/>
    </xf>
    <xf numFmtId="0" fontId="57" fillId="0" borderId="11" xfId="0" quotePrefix="1" applyFont="1" applyFill="1" applyBorder="1" applyAlignment="1">
      <alignment horizontal="center" vertical="top"/>
    </xf>
    <xf numFmtId="0" fontId="57" fillId="0" borderId="8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left" vertical="center" indent="1"/>
    </xf>
  </cellXfs>
  <cellStyles count="1985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0ED94279-2DA8-4958-A159-39A1EB8B3E88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2 3" xfId="1961" xr:uid="{E8752C60-1FE7-4C77-9ADC-1BE3F2E2A904}"/>
    <cellStyle name="Normal 12 11 2 3 2 2 4" xfId="1973" xr:uid="{C6D9E6A4-23D8-44CC-A65B-C9C0299A297A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7 2 5 2 3 2 2 2" xfId="1962" xr:uid="{72B4337E-33B4-4DE7-BFDE-4F3AC3D21415}"/>
    <cellStyle name="Normal 12 7 2 5 2 3 2 2 3" xfId="1974" xr:uid="{15B8AF53-0A85-4D5E-9383-3C5E106FB812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2 3" xfId="1965" xr:uid="{2129EFAE-1858-4338-8529-4D1493876DB9}"/>
    <cellStyle name="Normal 12 9 3 2 3 2 2 4" xfId="1977" xr:uid="{1D05C986-D8CB-4DA0-A785-ADA238F6DB5C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3D343ACF-EA33-40AF-803D-BE98D437EBBA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2 4 3 2 3 2 2 3" xfId="1968" xr:uid="{0B91EE80-5C04-40E4-8B39-CDC97ACF6482}"/>
    <cellStyle name="Normal 15 2 4 3 2 3 2 2 4" xfId="1980" xr:uid="{FB850706-9C25-4ABC-B299-A3CACA2F073A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2 3 2 3 2 2 3" xfId="1966" xr:uid="{B075E3D7-DA74-45F9-9891-37D5D2A326F1}"/>
    <cellStyle name="Normal 16 2 3 2 3 2 2 4" xfId="1978" xr:uid="{05A3956B-09E7-456D-A8BB-1C81E23D1D67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6 4 2 3 2 2 3" xfId="1967" xr:uid="{0214BF93-2FA5-40E6-81CA-3660EE5D4166}"/>
    <cellStyle name="Normal 16 4 2 3 2 2 4" xfId="1979" xr:uid="{40682157-1F71-4DEE-8A7F-2248E00FD952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7 3 2 3 2 2 3" xfId="1963" xr:uid="{6C9180CA-53D2-485E-8D9B-7CBD71E51711}"/>
    <cellStyle name="Normal 17 3 2 3 2 2 4" xfId="1975" xr:uid="{6BF249A8-3167-451D-887E-EEEDA8EE094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2 2 3" xfId="1964" xr:uid="{BAC79931-5ECA-4B9F-A7B0-2A11AFD6A6F6}"/>
    <cellStyle name="Normal 20 2 3 2 2 4" xfId="1976" xr:uid="{96ADD4AB-3AF0-4431-AF9B-840056DEBC4D}"/>
    <cellStyle name="Normal 20 2 3 3" xfId="1210" xr:uid="{E7749A52-EB61-427E-927B-AAEF4E9CE12B}"/>
    <cellStyle name="Normal 20 2 3 3 2" xfId="1936" xr:uid="{4FD657CA-810A-4BA3-8B07-1D95C3E9BDA0}"/>
    <cellStyle name="Normal 20 2 3 3 3" xfId="1960" xr:uid="{BC35305D-5B84-4B3B-B365-19BC83E41BFE}"/>
    <cellStyle name="Normal 20 2 3 3 4" xfId="1972" xr:uid="{7A16800B-64BE-43FD-91D4-489B4AD5E381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25" xfId="1970" xr:uid="{A39B04CB-59F8-40EB-BBA3-4250B11AF4E4}"/>
    <cellStyle name="Normal 25 2" xfId="1983" xr:uid="{491193BB-77EA-48A2-9E3A-12399BE9F7D8}"/>
    <cellStyle name="Normal 26" xfId="1971" xr:uid="{BBCEB99A-267C-4855-9F42-7E6E851D2093}"/>
    <cellStyle name="Normal 27" xfId="1982" xr:uid="{100AF3C5-6722-46F2-93A2-F90ABF03B6E9}"/>
    <cellStyle name="Normal 3" xfId="12" xr:uid="{00000000-0005-0000-0000-00003E030000}"/>
    <cellStyle name="Normal 3 2" xfId="1984" xr:uid="{74312E94-9CD1-4416-BCEC-366AE5B75C7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11" xfId="1959" xr:uid="{BEAEEAF2-7365-4C21-83E0-3E44C04F1565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A209BE5F-17EF-4568-BED8-220379492A35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BC5F83B5-5ED6-41A4-81EB-8E2B4169987D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2 9 2 4 3 2 3 2 2 3" xfId="1969" xr:uid="{C1A94B3D-1B87-42E6-B822-3C673CC25B70}"/>
    <cellStyle name="Normal 8 2 9 2 4 3 2 3 2 2 4" xfId="1981" xr:uid="{3F44523F-ABF8-42D3-A15F-0AAF26B01BDE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A0733775-06A3-45BA-9BF0-F62F749582D2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agcc.sharepoint.com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Q15"/>
  <sheetViews>
    <sheetView showGridLines="0" tabSelected="1" zoomScaleNormal="100" workbookViewId="0">
      <selection activeCell="G17" sqref="G17"/>
    </sheetView>
  </sheetViews>
  <sheetFormatPr defaultColWidth="8.85546875" defaultRowHeight="12.75"/>
  <cols>
    <col min="1" max="1" width="8.28515625" style="37" customWidth="1"/>
    <col min="2" max="2" width="11.85546875" style="37" customWidth="1"/>
    <col min="3" max="3" width="8.85546875" style="37"/>
    <col min="4" max="4" width="11.7109375" style="37" customWidth="1"/>
    <col min="5" max="5" width="10.7109375" style="37" bestFit="1" customWidth="1"/>
    <col min="6" max="6" width="8.85546875" style="37"/>
    <col min="7" max="7" width="10.7109375" style="37" bestFit="1" customWidth="1"/>
    <col min="8" max="8" width="8.85546875" style="37"/>
    <col min="9" max="10" width="9.140625" style="37" bestFit="1" customWidth="1"/>
    <col min="11" max="11" width="10.7109375" style="37" bestFit="1" customWidth="1"/>
    <col min="12" max="14" width="8.85546875" style="37"/>
    <col min="15" max="15" width="10" style="37" customWidth="1"/>
    <col min="16" max="16" width="18.28515625" style="37" customWidth="1"/>
    <col min="17" max="17" width="5.28515625" style="37" customWidth="1"/>
    <col min="18" max="16384" width="8.85546875" style="37"/>
  </cols>
  <sheetData>
    <row r="1" spans="1:17" s="136" customForma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3" spans="1:17" s="34" customFormat="1" ht="26.45" customHeight="1">
      <c r="A3" s="201"/>
      <c r="B3" s="786" t="s">
        <v>0</v>
      </c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201"/>
    </row>
    <row r="4" spans="1:17" s="34" customFormat="1" ht="12.6" customHeight="1">
      <c r="A4" s="201"/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201"/>
    </row>
    <row r="5" spans="1:17" s="34" customFormat="1" ht="22.15" customHeight="1">
      <c r="A5" s="201"/>
      <c r="B5" s="788" t="s">
        <v>1</v>
      </c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201"/>
    </row>
    <row r="6" spans="1:17" s="34" customFormat="1" ht="12.6" customHeight="1">
      <c r="A6" s="201"/>
      <c r="B6" s="749"/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201"/>
    </row>
    <row r="7" spans="1:17" s="19" customFormat="1" ht="22.15" customHeight="1">
      <c r="B7" s="789" t="s">
        <v>2</v>
      </c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789"/>
    </row>
    <row r="8" spans="1:17" s="19" customFormat="1" ht="10.9" customHeight="1"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</row>
    <row r="9" spans="1:17" s="19" customFormat="1" ht="30.6" customHeight="1">
      <c r="B9" s="785" t="s">
        <v>3</v>
      </c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5"/>
      <c r="P9" s="785"/>
    </row>
    <row r="10" spans="1:17" s="19" customFormat="1" ht="10.9" customHeight="1">
      <c r="B10" s="750"/>
      <c r="C10" s="750"/>
      <c r="D10" s="750"/>
      <c r="E10" s="750"/>
      <c r="F10" s="750"/>
      <c r="G10" s="750"/>
      <c r="H10" s="750"/>
      <c r="I10" s="750"/>
      <c r="J10" s="750"/>
      <c r="K10" s="750"/>
      <c r="L10" s="750"/>
      <c r="M10" s="750"/>
      <c r="N10" s="750"/>
      <c r="O10" s="750"/>
      <c r="P10" s="750"/>
    </row>
    <row r="11" spans="1:17" s="200" customFormat="1" ht="17.45" customHeight="1">
      <c r="A11" s="201"/>
      <c r="B11" s="785" t="s">
        <v>4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</row>
    <row r="12" spans="1:17" s="200" customFormat="1" ht="10.9" customHeight="1">
      <c r="A12" s="201"/>
      <c r="B12" s="748"/>
      <c r="C12" s="748"/>
      <c r="D12" s="748"/>
      <c r="E12" s="748"/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</row>
    <row r="13" spans="1:17" s="200" customFormat="1" ht="31.9" customHeight="1">
      <c r="A13" s="201"/>
      <c r="B13" s="785" t="s">
        <v>5</v>
      </c>
      <c r="C13" s="785"/>
      <c r="D13" s="785"/>
      <c r="E13" s="785"/>
      <c r="F13" s="785"/>
      <c r="G13" s="785"/>
      <c r="H13" s="785"/>
      <c r="I13" s="785"/>
      <c r="J13" s="785"/>
      <c r="K13" s="785"/>
      <c r="L13" s="785"/>
      <c r="M13" s="785"/>
      <c r="N13" s="785"/>
      <c r="O13" s="785"/>
      <c r="P13" s="785"/>
    </row>
    <row r="14" spans="1:17" s="200" customFormat="1" ht="10.9" customHeight="1">
      <c r="A14" s="201"/>
      <c r="B14" s="748"/>
      <c r="C14" s="748"/>
      <c r="D14" s="748"/>
      <c r="E14" s="748"/>
      <c r="F14" s="748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Q14" s="748"/>
    </row>
    <row r="15" spans="1:17" s="34" customFormat="1" ht="32.450000000000003" customHeight="1">
      <c r="A15" s="201"/>
      <c r="B15" s="785" t="s">
        <v>6</v>
      </c>
      <c r="C15" s="785"/>
      <c r="D15" s="785"/>
      <c r="E15" s="785"/>
      <c r="F15" s="785"/>
      <c r="G15" s="785"/>
      <c r="H15" s="785"/>
      <c r="I15" s="785"/>
      <c r="J15" s="785"/>
      <c r="K15" s="785"/>
      <c r="L15" s="785"/>
      <c r="M15" s="785"/>
      <c r="N15" s="785"/>
      <c r="O15" s="785"/>
      <c r="P15" s="785"/>
      <c r="Q15" s="42"/>
    </row>
  </sheetData>
  <mergeCells count="8">
    <mergeCell ref="B9:P9"/>
    <mergeCell ref="B15:P15"/>
    <mergeCell ref="B3:P3"/>
    <mergeCell ref="B4:P4"/>
    <mergeCell ref="B5:P5"/>
    <mergeCell ref="B7:P7"/>
    <mergeCell ref="B11:P11"/>
    <mergeCell ref="B13:P13"/>
  </mergeCells>
  <printOptions horizontalCentered="1"/>
  <pageMargins left="0.7" right="0.7" top="1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0187-68D6-4DA6-84D5-20DEE7C020ED}">
  <sheetPr>
    <pageSetUpPr fitToPage="1"/>
  </sheetPr>
  <dimension ref="A1:J59"/>
  <sheetViews>
    <sheetView showWhiteSpace="0" topLeftCell="A2" zoomScaleNormal="100" workbookViewId="0">
      <selection activeCell="D54" sqref="D54"/>
    </sheetView>
  </sheetViews>
  <sheetFormatPr defaultColWidth="8.85546875" defaultRowHeight="14.25"/>
  <cols>
    <col min="1" max="1" width="47.5703125" style="162" customWidth="1"/>
    <col min="2" max="2" width="15.7109375" style="162" customWidth="1"/>
    <col min="3" max="4" width="18.5703125" style="162" customWidth="1"/>
    <col min="5" max="5" width="21.140625" style="162" customWidth="1"/>
    <col min="6" max="7" width="18.5703125" style="162" customWidth="1"/>
    <col min="8" max="8" width="21.140625" style="162" customWidth="1"/>
    <col min="9" max="16384" width="8.85546875" style="162"/>
  </cols>
  <sheetData>
    <row r="1" spans="1:8" s="707" customFormat="1" ht="23.45" customHeight="1">
      <c r="A1" s="857" t="s">
        <v>267</v>
      </c>
      <c r="B1" s="858"/>
      <c r="C1" s="858"/>
      <c r="D1" s="858"/>
      <c r="E1" s="858"/>
      <c r="F1" s="858"/>
    </row>
    <row r="2" spans="1:8" s="665" customFormat="1" ht="37.9" customHeight="1">
      <c r="A2" s="642"/>
      <c r="B2" s="519" t="s">
        <v>225</v>
      </c>
      <c r="C2" s="222" t="s">
        <v>21</v>
      </c>
      <c r="D2" s="221" t="s">
        <v>226</v>
      </c>
      <c r="E2" s="192" t="s">
        <v>228</v>
      </c>
      <c r="F2" s="220" t="s">
        <v>21</v>
      </c>
      <c r="G2" s="220" t="s">
        <v>226</v>
      </c>
      <c r="H2" s="193" t="s">
        <v>228</v>
      </c>
    </row>
    <row r="3" spans="1:8" s="665" customFormat="1" ht="16.149999999999999" customHeight="1">
      <c r="A3" s="643"/>
      <c r="B3" s="131" t="s">
        <v>25</v>
      </c>
      <c r="C3" s="859" t="s">
        <v>229</v>
      </c>
      <c r="D3" s="860"/>
      <c r="E3" s="861"/>
      <c r="F3" s="862" t="s">
        <v>268</v>
      </c>
      <c r="G3" s="863"/>
      <c r="H3" s="863"/>
    </row>
    <row r="4" spans="1:8" s="665" customFormat="1">
      <c r="A4" s="644"/>
      <c r="B4" s="645"/>
      <c r="C4" s="650"/>
      <c r="D4" s="690"/>
      <c r="E4" s="646"/>
      <c r="F4" s="647"/>
      <c r="G4" s="708"/>
      <c r="H4" s="708"/>
    </row>
    <row r="5" spans="1:8" s="665" customFormat="1" ht="15">
      <c r="A5" s="607" t="s">
        <v>269</v>
      </c>
      <c r="B5" s="644"/>
      <c r="C5" s="686"/>
      <c r="D5" s="645"/>
      <c r="E5" s="646"/>
      <c r="F5" s="648"/>
      <c r="G5" s="699"/>
      <c r="H5" s="699"/>
    </row>
    <row r="6" spans="1:8" s="665" customFormat="1">
      <c r="A6" s="608" t="s">
        <v>232</v>
      </c>
      <c r="B6" s="645">
        <v>1117195</v>
      </c>
      <c r="C6" s="645">
        <v>1117195</v>
      </c>
      <c r="D6" s="645">
        <v>1117195</v>
      </c>
      <c r="E6" s="650">
        <f>+D6-C6</f>
        <v>0</v>
      </c>
      <c r="F6" s="651">
        <f t="shared" ref="F6:G9" si="0">C6*1.10231125</f>
        <v>1231496.6169437501</v>
      </c>
      <c r="G6" s="695">
        <f t="shared" si="0"/>
        <v>1231496.6169437501</v>
      </c>
      <c r="H6" s="696">
        <f>+G6-F6</f>
        <v>0</v>
      </c>
    </row>
    <row r="7" spans="1:8" s="665" customFormat="1">
      <c r="A7" s="608" t="s">
        <v>270</v>
      </c>
      <c r="B7" s="644"/>
      <c r="C7" s="645">
        <v>-90000</v>
      </c>
      <c r="D7" s="645">
        <v>-90000</v>
      </c>
      <c r="E7" s="650">
        <f>+D7-C7</f>
        <v>0</v>
      </c>
      <c r="F7" s="651">
        <f t="shared" si="0"/>
        <v>-99208.012500000012</v>
      </c>
      <c r="G7" s="651">
        <f t="shared" si="0"/>
        <v>-99208.012500000012</v>
      </c>
      <c r="H7" s="696">
        <f>+G7-F7</f>
        <v>0</v>
      </c>
    </row>
    <row r="8" spans="1:8" s="665" customFormat="1">
      <c r="A8" s="533" t="s">
        <v>271</v>
      </c>
      <c r="B8" s="644"/>
      <c r="C8" s="645">
        <v>50000</v>
      </c>
      <c r="D8" s="645">
        <v>50000</v>
      </c>
      <c r="E8" s="650">
        <f>+D8-C8</f>
        <v>0</v>
      </c>
      <c r="F8" s="651">
        <f t="shared" si="0"/>
        <v>55115.562500000007</v>
      </c>
      <c r="G8" s="695">
        <f t="shared" si="0"/>
        <v>55115.562500000007</v>
      </c>
      <c r="H8" s="731">
        <f>+G8-F8</f>
        <v>0</v>
      </c>
    </row>
    <row r="9" spans="1:8" s="665" customFormat="1" ht="15">
      <c r="A9" s="607" t="s">
        <v>237</v>
      </c>
      <c r="B9" s="652">
        <f>SUM(B6:B7)</f>
        <v>1117195</v>
      </c>
      <c r="C9" s="652">
        <f>SUM(C6:C8)</f>
        <v>1077195</v>
      </c>
      <c r="D9" s="652">
        <f>SUM(D6:D8)</f>
        <v>1077195</v>
      </c>
      <c r="E9" s="653">
        <f>+D9-C9</f>
        <v>0</v>
      </c>
      <c r="F9" s="654">
        <f t="shared" si="0"/>
        <v>1187404.1669437501</v>
      </c>
      <c r="G9" s="697">
        <f t="shared" si="0"/>
        <v>1187404.1669437501</v>
      </c>
      <c r="H9" s="732">
        <f>+G9-F9</f>
        <v>0</v>
      </c>
    </row>
    <row r="10" spans="1:8" s="665" customFormat="1">
      <c r="A10" s="644"/>
      <c r="B10" s="645"/>
      <c r="C10" s="645"/>
      <c r="D10" s="645"/>
      <c r="E10" s="646"/>
      <c r="F10" s="648"/>
      <c r="G10" s="699"/>
      <c r="H10" s="699"/>
    </row>
    <row r="11" spans="1:8" s="665" customFormat="1" ht="15">
      <c r="A11" s="607" t="s">
        <v>272</v>
      </c>
      <c r="B11" s="645"/>
      <c r="C11" s="645"/>
      <c r="D11" s="645"/>
      <c r="E11" s="646"/>
      <c r="F11" s="648"/>
      <c r="G11" s="699"/>
      <c r="H11" s="699"/>
    </row>
    <row r="12" spans="1:8" s="665" customFormat="1">
      <c r="A12" s="608" t="s">
        <v>239</v>
      </c>
      <c r="B12" s="609" t="s">
        <v>171</v>
      </c>
      <c r="C12" s="611" t="s">
        <v>171</v>
      </c>
      <c r="D12" s="611" t="s">
        <v>171</v>
      </c>
      <c r="E12" s="611" t="s">
        <v>171</v>
      </c>
      <c r="F12" s="610" t="s">
        <v>171</v>
      </c>
      <c r="G12" s="700" t="s">
        <v>171</v>
      </c>
      <c r="H12" s="700" t="s">
        <v>171</v>
      </c>
    </row>
    <row r="13" spans="1:8" s="665" customFormat="1">
      <c r="A13" s="608" t="s">
        <v>240</v>
      </c>
      <c r="B13" s="609" t="s">
        <v>171</v>
      </c>
      <c r="C13" s="611" t="s">
        <v>171</v>
      </c>
      <c r="D13" s="611" t="s">
        <v>171</v>
      </c>
      <c r="E13" s="611" t="s">
        <v>171</v>
      </c>
      <c r="F13" s="610" t="s">
        <v>171</v>
      </c>
      <c r="G13" s="700" t="s">
        <v>171</v>
      </c>
      <c r="H13" s="700" t="s">
        <v>171</v>
      </c>
    </row>
    <row r="14" spans="1:8" s="665" customFormat="1">
      <c r="A14" s="608" t="s">
        <v>241</v>
      </c>
      <c r="B14" s="609" t="s">
        <v>171</v>
      </c>
      <c r="C14" s="611" t="s">
        <v>171</v>
      </c>
      <c r="D14" s="611" t="s">
        <v>171</v>
      </c>
      <c r="E14" s="611" t="s">
        <v>171</v>
      </c>
      <c r="F14" s="610" t="s">
        <v>171</v>
      </c>
      <c r="G14" s="700" t="s">
        <v>171</v>
      </c>
      <c r="H14" s="700" t="s">
        <v>171</v>
      </c>
    </row>
    <row r="15" spans="1:8" s="665" customFormat="1">
      <c r="A15" s="608"/>
      <c r="B15" s="645"/>
      <c r="C15" s="645"/>
      <c r="D15" s="645"/>
      <c r="E15" s="646"/>
      <c r="F15" s="651"/>
      <c r="G15" s="701"/>
      <c r="H15" s="699"/>
    </row>
    <row r="16" spans="1:8" s="665" customFormat="1">
      <c r="A16" s="649" t="s">
        <v>242</v>
      </c>
      <c r="B16" s="645"/>
      <c r="C16" s="645"/>
      <c r="D16" s="645"/>
      <c r="E16" s="646"/>
      <c r="F16" s="651"/>
      <c r="G16" s="701"/>
      <c r="H16" s="699"/>
    </row>
    <row r="17" spans="1:8" s="665" customFormat="1">
      <c r="A17" s="608" t="s">
        <v>243</v>
      </c>
      <c r="B17" s="645">
        <v>1656</v>
      </c>
      <c r="C17" s="645">
        <v>1656</v>
      </c>
      <c r="D17" s="645">
        <v>1656</v>
      </c>
      <c r="E17" s="650">
        <f>+D17-C17</f>
        <v>0</v>
      </c>
      <c r="F17" s="651">
        <f>C17*1.10231125</f>
        <v>1825.4274300000002</v>
      </c>
      <c r="G17" s="704">
        <f>D17*1.10231125</f>
        <v>1825.4274300000002</v>
      </c>
      <c r="H17" s="696">
        <f>+G17-F17</f>
        <v>0</v>
      </c>
    </row>
    <row r="18" spans="1:8" s="665" customFormat="1">
      <c r="A18" s="608" t="s">
        <v>244</v>
      </c>
      <c r="B18" s="611" t="s">
        <v>171</v>
      </c>
      <c r="C18" s="611" t="s">
        <v>171</v>
      </c>
      <c r="D18" s="611" t="s">
        <v>171</v>
      </c>
      <c r="E18" s="687" t="s">
        <v>171</v>
      </c>
      <c r="F18" s="610" t="s">
        <v>171</v>
      </c>
      <c r="G18" s="704" t="s">
        <v>171</v>
      </c>
      <c r="H18" s="700" t="s">
        <v>171</v>
      </c>
    </row>
    <row r="19" spans="1:8" s="665" customFormat="1" ht="15">
      <c r="A19" s="607" t="s">
        <v>245</v>
      </c>
      <c r="B19" s="652">
        <v>22000</v>
      </c>
      <c r="C19" s="652">
        <v>22000</v>
      </c>
      <c r="D19" s="652">
        <v>22000</v>
      </c>
      <c r="E19" s="653">
        <f>+D19-C19</f>
        <v>0</v>
      </c>
      <c r="F19" s="654">
        <f>C19*1.10231125</f>
        <v>24250.8475</v>
      </c>
      <c r="G19" s="702">
        <f>D19*1.10231125</f>
        <v>24250.8475</v>
      </c>
      <c r="H19" s="698">
        <f>+G19-F19</f>
        <v>0</v>
      </c>
    </row>
    <row r="20" spans="1:8" s="665" customFormat="1">
      <c r="A20" s="644"/>
      <c r="B20" s="645"/>
      <c r="C20" s="650"/>
      <c r="D20" s="645"/>
      <c r="E20" s="646"/>
      <c r="F20" s="648"/>
      <c r="G20" s="703"/>
      <c r="H20" s="699"/>
    </row>
    <row r="21" spans="1:8" s="665" customFormat="1" ht="15">
      <c r="A21" s="607" t="s">
        <v>246</v>
      </c>
      <c r="B21" s="645"/>
      <c r="C21" s="650"/>
      <c r="D21" s="645"/>
      <c r="E21" s="646"/>
      <c r="F21" s="648"/>
      <c r="G21" s="703"/>
      <c r="H21" s="699"/>
    </row>
    <row r="22" spans="1:8" s="665" customFormat="1">
      <c r="A22" s="608" t="s">
        <v>273</v>
      </c>
      <c r="B22" s="656">
        <v>147660</v>
      </c>
      <c r="C22" s="688"/>
      <c r="D22" s="645"/>
      <c r="E22" s="646"/>
      <c r="F22" s="648"/>
      <c r="G22" s="703"/>
      <c r="H22" s="699"/>
    </row>
    <row r="23" spans="1:8" s="665" customFormat="1">
      <c r="A23" s="608" t="s">
        <v>274</v>
      </c>
      <c r="B23" s="645"/>
      <c r="C23" s="657">
        <v>21711.613390313392</v>
      </c>
      <c r="D23" s="691">
        <v>21711.613390313392</v>
      </c>
      <c r="E23" s="657">
        <f>+D23-C23</f>
        <v>0</v>
      </c>
      <c r="F23" s="651">
        <f>C23*1.10231125</f>
        <v>23932.955695793094</v>
      </c>
      <c r="G23" s="695">
        <f t="shared" ref="G23:G40" si="1">D23*1.10231125</f>
        <v>23932.955695793094</v>
      </c>
      <c r="H23" s="696">
        <f>+G23-F23</f>
        <v>0</v>
      </c>
    </row>
    <row r="24" spans="1:8" s="665" customFormat="1">
      <c r="A24" s="608" t="s">
        <v>275</v>
      </c>
      <c r="B24" s="645"/>
      <c r="C24" s="657">
        <v>110745</v>
      </c>
      <c r="D24" s="691">
        <v>110745</v>
      </c>
      <c r="E24" s="657">
        <f>+D24-C24</f>
        <v>0</v>
      </c>
      <c r="F24" s="651">
        <f>C24*1.10231125</f>
        <v>122075.45938125001</v>
      </c>
      <c r="G24" s="695">
        <f t="shared" si="1"/>
        <v>122075.45938125001</v>
      </c>
      <c r="H24" s="696">
        <f>+G24-F24</f>
        <v>0</v>
      </c>
    </row>
    <row r="25" spans="1:8" s="665" customFormat="1">
      <c r="A25" s="608"/>
      <c r="B25" s="645"/>
      <c r="C25" s="657"/>
      <c r="D25" s="691"/>
      <c r="E25" s="657"/>
      <c r="F25" s="651"/>
      <c r="G25" s="695"/>
      <c r="H25" s="699"/>
    </row>
    <row r="26" spans="1:8" s="665" customFormat="1">
      <c r="A26" s="608" t="s">
        <v>276</v>
      </c>
      <c r="B26" s="645">
        <v>2000</v>
      </c>
      <c r="C26" s="657"/>
      <c r="D26" s="691"/>
      <c r="E26" s="657"/>
      <c r="F26" s="651"/>
      <c r="G26" s="695"/>
      <c r="H26" s="699"/>
    </row>
    <row r="27" spans="1:8" s="665" customFormat="1">
      <c r="A27" s="608" t="s">
        <v>274</v>
      </c>
      <c r="B27" s="645"/>
      <c r="C27" s="657">
        <v>0</v>
      </c>
      <c r="D27" s="691">
        <v>0</v>
      </c>
      <c r="E27" s="657">
        <f>+D27-C27</f>
        <v>0</v>
      </c>
      <c r="F27" s="651">
        <f>C27*1.10231125</f>
        <v>0</v>
      </c>
      <c r="G27" s="695">
        <f t="shared" si="1"/>
        <v>0</v>
      </c>
      <c r="H27" s="696">
        <f>+G27-F27</f>
        <v>0</v>
      </c>
    </row>
    <row r="28" spans="1:8" s="665" customFormat="1">
      <c r="A28" s="608" t="s">
        <v>275</v>
      </c>
      <c r="B28" s="645"/>
      <c r="C28" s="657">
        <v>1500</v>
      </c>
      <c r="D28" s="691">
        <v>1500</v>
      </c>
      <c r="E28" s="657">
        <f>+D28-C28</f>
        <v>0</v>
      </c>
      <c r="F28" s="651">
        <f>C28*1.10231125</f>
        <v>1653.4668750000001</v>
      </c>
      <c r="G28" s="695">
        <f t="shared" si="1"/>
        <v>1653.4668750000001</v>
      </c>
      <c r="H28" s="696">
        <f>+G28-F28</f>
        <v>0</v>
      </c>
    </row>
    <row r="29" spans="1:8" s="665" customFormat="1">
      <c r="A29" s="608"/>
      <c r="B29" s="645"/>
      <c r="C29" s="657"/>
      <c r="D29" s="691"/>
      <c r="E29" s="657"/>
      <c r="F29" s="651"/>
      <c r="G29" s="695"/>
      <c r="H29" s="699"/>
    </row>
    <row r="30" spans="1:8" s="665" customFormat="1">
      <c r="A30" s="608" t="s">
        <v>277</v>
      </c>
      <c r="B30" s="645">
        <v>58250</v>
      </c>
      <c r="C30" s="657"/>
      <c r="D30" s="691"/>
      <c r="E30" s="657"/>
      <c r="F30" s="651"/>
      <c r="G30" s="695"/>
      <c r="H30" s="699"/>
    </row>
    <row r="31" spans="1:8" s="665" customFormat="1">
      <c r="A31" s="608" t="s">
        <v>274</v>
      </c>
      <c r="B31" s="645"/>
      <c r="C31" s="657">
        <v>18141.629955947137</v>
      </c>
      <c r="D31" s="691">
        <v>18141.629955947137</v>
      </c>
      <c r="E31" s="657">
        <f>+D31-C31</f>
        <v>0</v>
      </c>
      <c r="F31" s="651">
        <f>C31*1.10231125</f>
        <v>19997.722793777535</v>
      </c>
      <c r="G31" s="695">
        <f t="shared" si="1"/>
        <v>19997.722793777535</v>
      </c>
      <c r="H31" s="696">
        <f>+G31-F31</f>
        <v>0</v>
      </c>
    </row>
    <row r="32" spans="1:8" s="665" customFormat="1">
      <c r="A32" s="608" t="s">
        <v>275</v>
      </c>
      <c r="B32" s="645"/>
      <c r="C32" s="657">
        <v>43687.5</v>
      </c>
      <c r="D32" s="691">
        <v>43687.5</v>
      </c>
      <c r="E32" s="657">
        <f>+D32-C32</f>
        <v>0</v>
      </c>
      <c r="F32" s="651">
        <f>C32*1.10231125</f>
        <v>48157.222734375006</v>
      </c>
      <c r="G32" s="695">
        <f t="shared" si="1"/>
        <v>48157.222734375006</v>
      </c>
      <c r="H32" s="696">
        <f>+G32-F32</f>
        <v>0</v>
      </c>
    </row>
    <row r="33" spans="1:10" s="665" customFormat="1">
      <c r="A33" s="608"/>
      <c r="B33" s="645"/>
      <c r="C33" s="657"/>
      <c r="D33" s="656"/>
      <c r="E33" s="658"/>
      <c r="F33" s="651"/>
      <c r="G33" s="695"/>
      <c r="H33" s="699"/>
    </row>
    <row r="34" spans="1:10" s="665" customFormat="1">
      <c r="A34" s="608" t="s">
        <v>278</v>
      </c>
      <c r="B34" s="611">
        <v>7100</v>
      </c>
      <c r="C34" s="641"/>
      <c r="D34" s="692"/>
      <c r="E34" s="641"/>
      <c r="F34" s="651"/>
      <c r="G34" s="695"/>
      <c r="H34" s="699"/>
    </row>
    <row r="35" spans="1:10" s="665" customFormat="1">
      <c r="A35" s="608" t="s">
        <v>274</v>
      </c>
      <c r="B35" s="611"/>
      <c r="C35" s="641">
        <v>836</v>
      </c>
      <c r="D35" s="692">
        <v>836</v>
      </c>
      <c r="E35" s="641">
        <f>+D35-C35</f>
        <v>0</v>
      </c>
      <c r="F35" s="651">
        <f>C35*1.10231125</f>
        <v>921.53220500000009</v>
      </c>
      <c r="G35" s="695">
        <f t="shared" si="1"/>
        <v>921.53220500000009</v>
      </c>
      <c r="H35" s="696">
        <f>+G35-F35</f>
        <v>0</v>
      </c>
    </row>
    <row r="36" spans="1:10" s="665" customFormat="1">
      <c r="A36" s="608" t="s">
        <v>275</v>
      </c>
      <c r="B36" s="611"/>
      <c r="C36" s="641">
        <v>5325</v>
      </c>
      <c r="D36" s="692">
        <v>5325</v>
      </c>
      <c r="E36" s="641">
        <f>+D36-C36</f>
        <v>0</v>
      </c>
      <c r="F36" s="651">
        <f>C36*1.10231125</f>
        <v>5869.80740625</v>
      </c>
      <c r="G36" s="695">
        <f t="shared" si="1"/>
        <v>5869.80740625</v>
      </c>
      <c r="H36" s="696">
        <f>+G36-F36</f>
        <v>0</v>
      </c>
    </row>
    <row r="37" spans="1:10" s="665" customFormat="1">
      <c r="A37" s="608"/>
      <c r="B37" s="611"/>
      <c r="C37" s="641"/>
      <c r="D37" s="692"/>
      <c r="E37" s="614"/>
      <c r="F37" s="651"/>
      <c r="G37" s="695"/>
      <c r="H37" s="699"/>
    </row>
    <row r="38" spans="1:10" s="665" customFormat="1">
      <c r="A38" s="608" t="s">
        <v>279</v>
      </c>
      <c r="B38" s="611">
        <v>9600</v>
      </c>
      <c r="C38" s="694"/>
      <c r="D38" s="699"/>
      <c r="F38" s="651"/>
      <c r="G38" s="695"/>
      <c r="H38" s="696"/>
    </row>
    <row r="39" spans="1:10" s="665" customFormat="1">
      <c r="A39" s="608" t="s">
        <v>274</v>
      </c>
      <c r="B39" s="611"/>
      <c r="C39" s="641">
        <v>2400</v>
      </c>
      <c r="D39" s="692">
        <v>2400</v>
      </c>
      <c r="E39" s="614">
        <f>+D39-C39</f>
        <v>0</v>
      </c>
      <c r="F39" s="651">
        <f t="shared" ref="F39:F40" si="2">C39*1.10231125</f>
        <v>2645.547</v>
      </c>
      <c r="G39" s="695">
        <f t="shared" si="1"/>
        <v>2645.547</v>
      </c>
      <c r="H39" s="695">
        <f>+G39-F39</f>
        <v>0</v>
      </c>
    </row>
    <row r="40" spans="1:10" s="665" customFormat="1">
      <c r="A40" s="608" t="s">
        <v>275</v>
      </c>
      <c r="B40" s="611"/>
      <c r="C40" s="641">
        <v>7200</v>
      </c>
      <c r="D40" s="692">
        <v>7200</v>
      </c>
      <c r="E40" s="614">
        <f>+D40-C40</f>
        <v>0</v>
      </c>
      <c r="F40" s="651">
        <f t="shared" si="2"/>
        <v>7936.6410000000005</v>
      </c>
      <c r="G40" s="695">
        <f t="shared" si="1"/>
        <v>7936.6410000000005</v>
      </c>
      <c r="H40" s="695">
        <f>+G40-F40</f>
        <v>0</v>
      </c>
    </row>
    <row r="41" spans="1:10" s="665" customFormat="1">
      <c r="A41" s="649"/>
      <c r="B41" s="611"/>
      <c r="C41" s="687"/>
      <c r="D41" s="611"/>
      <c r="E41" s="612"/>
      <c r="F41" s="648"/>
      <c r="G41" s="705"/>
      <c r="H41" s="656"/>
    </row>
    <row r="42" spans="1:10" s="707" customFormat="1" ht="18" customHeight="1">
      <c r="A42" s="607" t="s">
        <v>254</v>
      </c>
      <c r="B42" s="405">
        <f>SUM(B22:B40)</f>
        <v>224610</v>
      </c>
      <c r="C42" s="667">
        <f>SUM(C23:C40)</f>
        <v>211546.74334626054</v>
      </c>
      <c r="D42" s="405">
        <f>SUM(D23:D40)</f>
        <v>211546.74334626054</v>
      </c>
      <c r="E42" s="689">
        <f>+D42-C42</f>
        <v>0</v>
      </c>
      <c r="F42" s="427">
        <f>SUM(F23:F40)</f>
        <v>233190.35509144567</v>
      </c>
      <c r="G42" s="427">
        <f>SUM(G23:G40)</f>
        <v>233190.35509144567</v>
      </c>
      <c r="H42" s="706">
        <f t="shared" ref="H42:H52" si="3">+G42-F42</f>
        <v>0</v>
      </c>
    </row>
    <row r="43" spans="1:10" s="665" customFormat="1" ht="15">
      <c r="A43" s="659"/>
      <c r="B43" s="645"/>
      <c r="C43" s="650"/>
      <c r="D43" s="645"/>
      <c r="E43" s="646"/>
      <c r="F43" s="660"/>
      <c r="G43" s="699"/>
      <c r="H43" s="699"/>
    </row>
    <row r="44" spans="1:10" s="665" customFormat="1" ht="16.5">
      <c r="A44" s="607" t="s">
        <v>255</v>
      </c>
      <c r="B44" s="652">
        <f>B9+B19+B42</f>
        <v>1363805</v>
      </c>
      <c r="C44" s="655">
        <f>C9+C19+C42</f>
        <v>1310741.7433462606</v>
      </c>
      <c r="D44" s="652">
        <f>D9+D19+D42</f>
        <v>1310741.7433462606</v>
      </c>
      <c r="E44" s="653">
        <f>+D44-C44</f>
        <v>0</v>
      </c>
      <c r="F44" s="615">
        <f>F9+F19+F42</f>
        <v>1444845.3695351956</v>
      </c>
      <c r="G44" s="697">
        <f>G9+G19+G42</f>
        <v>1444845.3695351956</v>
      </c>
      <c r="H44" s="697">
        <f t="shared" si="3"/>
        <v>0</v>
      </c>
    </row>
    <row r="45" spans="1:10" s="665" customFormat="1" ht="15">
      <c r="A45" s="659"/>
      <c r="B45" s="645"/>
      <c r="C45" s="650"/>
      <c r="D45" s="645"/>
      <c r="E45" s="646"/>
      <c r="F45" s="660"/>
      <c r="G45" s="696"/>
      <c r="H45" s="656"/>
    </row>
    <row r="46" spans="1:10" s="665" customFormat="1" ht="17.45" customHeight="1">
      <c r="A46" s="608" t="s">
        <v>256</v>
      </c>
      <c r="B46" s="616"/>
      <c r="C46" s="481">
        <f>+F46/1.10231125</f>
        <v>1593179.7847477288</v>
      </c>
      <c r="D46" s="616">
        <f>G46/1.10231125</f>
        <v>1593179.7847477288</v>
      </c>
      <c r="E46" s="481">
        <f t="shared" ref="E46:E52" si="4">+D46-C46</f>
        <v>0</v>
      </c>
      <c r="F46" s="617">
        <v>1756180</v>
      </c>
      <c r="G46" s="695">
        <v>1756180</v>
      </c>
      <c r="H46" s="703">
        <f t="shared" si="3"/>
        <v>0</v>
      </c>
      <c r="J46" s="709"/>
    </row>
    <row r="47" spans="1:10" s="665" customFormat="1">
      <c r="A47" s="608"/>
      <c r="B47" s="645"/>
      <c r="C47" s="481"/>
      <c r="D47" s="693"/>
      <c r="E47" s="618"/>
      <c r="F47" s="617"/>
      <c r="G47" s="695"/>
      <c r="H47" s="703"/>
    </row>
    <row r="48" spans="1:10" s="665" customFormat="1" ht="19.149999999999999" customHeight="1">
      <c r="A48" s="608" t="s">
        <v>257</v>
      </c>
      <c r="B48" s="645"/>
      <c r="C48" s="481">
        <f t="shared" ref="C48:C50" si="5">+F48/1.10231125</f>
        <v>226796.19753495211</v>
      </c>
      <c r="D48" s="693">
        <f>G48/1.10231125</f>
        <v>226796.19753495211</v>
      </c>
      <c r="E48" s="618">
        <f t="shared" si="4"/>
        <v>0</v>
      </c>
      <c r="F48" s="617">
        <v>250000</v>
      </c>
      <c r="G48" s="695">
        <v>250000</v>
      </c>
      <c r="H48" s="703">
        <f t="shared" si="3"/>
        <v>0</v>
      </c>
    </row>
    <row r="49" spans="1:8" s="665" customFormat="1">
      <c r="A49" s="608"/>
      <c r="B49" s="645"/>
      <c r="C49" s="481"/>
      <c r="D49" s="693"/>
      <c r="E49" s="618"/>
      <c r="F49" s="617"/>
      <c r="G49" s="695"/>
      <c r="H49" s="703"/>
    </row>
    <row r="50" spans="1:8" s="665" customFormat="1">
      <c r="A50" s="608" t="s">
        <v>258</v>
      </c>
      <c r="B50" s="645"/>
      <c r="C50" s="481">
        <f t="shared" si="5"/>
        <v>45359.239506990423</v>
      </c>
      <c r="D50" s="693">
        <f>G50/1.10231125</f>
        <v>45359.239506990423</v>
      </c>
      <c r="E50" s="618">
        <f t="shared" si="4"/>
        <v>0</v>
      </c>
      <c r="F50" s="617">
        <v>50000</v>
      </c>
      <c r="G50" s="695">
        <v>50000</v>
      </c>
      <c r="H50" s="703">
        <f t="shared" si="3"/>
        <v>0</v>
      </c>
    </row>
    <row r="51" spans="1:8" s="665" customFormat="1" ht="15">
      <c r="A51" s="659"/>
      <c r="B51" s="645"/>
      <c r="C51" s="650"/>
      <c r="D51" s="645"/>
      <c r="E51" s="646"/>
      <c r="F51" s="619"/>
      <c r="G51" s="699"/>
      <c r="H51" s="703"/>
    </row>
    <row r="52" spans="1:8" s="665" customFormat="1" ht="15.6" customHeight="1">
      <c r="A52" s="661" t="s">
        <v>259</v>
      </c>
      <c r="B52" s="662"/>
      <c r="C52" s="663">
        <f>C44+C46+C48+C50</f>
        <v>3176076.9651359324</v>
      </c>
      <c r="D52" s="662">
        <f>D44+D46+D48+D50</f>
        <v>3176076.9651359324</v>
      </c>
      <c r="E52" s="663">
        <f t="shared" si="4"/>
        <v>0</v>
      </c>
      <c r="F52" s="620">
        <f>F44+F46+F48+F50</f>
        <v>3501025.3695351956</v>
      </c>
      <c r="G52" s="710">
        <f>G44+G46+G48+G50</f>
        <v>3501025.3695351956</v>
      </c>
      <c r="H52" s="710">
        <f t="shared" si="3"/>
        <v>0</v>
      </c>
    </row>
    <row r="53" spans="1:8" s="665" customFormat="1">
      <c r="A53" s="664"/>
      <c r="B53" s="646"/>
      <c r="C53" s="646"/>
      <c r="D53" s="646"/>
      <c r="E53" s="646"/>
      <c r="F53" s="646"/>
    </row>
    <row r="54" spans="1:8" s="665" customFormat="1">
      <c r="A54" s="665" t="s">
        <v>260</v>
      </c>
      <c r="B54" s="666"/>
      <c r="C54" s="666"/>
      <c r="F54" s="646"/>
    </row>
    <row r="55" spans="1:8" s="665" customFormat="1">
      <c r="A55" s="664" t="s">
        <v>280</v>
      </c>
      <c r="B55" s="666"/>
      <c r="C55" s="666"/>
      <c r="F55" s="646"/>
    </row>
    <row r="56" spans="1:8" s="665" customFormat="1">
      <c r="A56" s="664" t="s">
        <v>262</v>
      </c>
      <c r="B56" s="646"/>
      <c r="C56" s="646"/>
      <c r="D56" s="646"/>
      <c r="E56" s="646"/>
      <c r="F56" s="646"/>
    </row>
    <row r="57" spans="1:8" s="665" customFormat="1">
      <c r="A57" s="664" t="s">
        <v>263</v>
      </c>
      <c r="B57" s="646"/>
      <c r="C57" s="646"/>
      <c r="D57" s="646"/>
      <c r="E57" s="646"/>
      <c r="F57" s="646"/>
    </row>
    <row r="58" spans="1:8" s="665" customFormat="1">
      <c r="A58" s="665" t="s">
        <v>264</v>
      </c>
    </row>
    <row r="59" spans="1:8" s="665" customFormat="1">
      <c r="A59" s="665" t="s">
        <v>281</v>
      </c>
    </row>
  </sheetData>
  <mergeCells count="3">
    <mergeCell ref="A1:F1"/>
    <mergeCell ref="C3:E3"/>
    <mergeCell ref="F3:H3"/>
  </mergeCells>
  <pageMargins left="0.5" right="0.17" top="1" bottom="0.17" header="0.17" footer="0.17"/>
  <pageSetup scale="60" orientation="landscape" r:id="rId1"/>
  <ignoredErrors>
    <ignoredError sqref="E44 E52 E4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B5AA-7D75-4FAF-AA66-8FD6FAEDDC31}">
  <sheetPr>
    <pageSetUpPr fitToPage="1"/>
  </sheetPr>
  <dimension ref="A1:K52"/>
  <sheetViews>
    <sheetView zoomScale="75" zoomScaleNormal="75" zoomScaleSheetLayoutView="50" workbookViewId="0">
      <selection sqref="A1:K1"/>
    </sheetView>
  </sheetViews>
  <sheetFormatPr defaultColWidth="8.85546875" defaultRowHeight="15"/>
  <cols>
    <col min="1" max="1" width="35.7109375" style="588" customWidth="1"/>
    <col min="2" max="2" width="23.85546875" style="588" customWidth="1"/>
    <col min="3" max="3" width="14.85546875" style="588" customWidth="1"/>
    <col min="4" max="4" width="16.28515625" style="588" customWidth="1"/>
    <col min="5" max="7" width="22.7109375" style="588" customWidth="1"/>
    <col min="8" max="8" width="17.5703125" style="588" customWidth="1"/>
    <col min="9" max="10" width="22.7109375" style="588" customWidth="1"/>
    <col min="11" max="11" width="28" style="588" customWidth="1"/>
    <col min="12" max="12" width="8.85546875" style="588"/>
    <col min="13" max="15" width="20.7109375" style="588" customWidth="1"/>
    <col min="16" max="16384" width="8.85546875" style="588"/>
  </cols>
  <sheetData>
    <row r="1" spans="1:11" s="587" customFormat="1" ht="22.9" customHeight="1">
      <c r="A1" s="865" t="s">
        <v>282</v>
      </c>
      <c r="B1" s="866"/>
      <c r="C1" s="866"/>
      <c r="D1" s="866"/>
      <c r="E1" s="866"/>
      <c r="F1" s="866"/>
      <c r="G1" s="866"/>
      <c r="H1" s="866"/>
      <c r="I1" s="866"/>
      <c r="J1" s="866"/>
      <c r="K1" s="867"/>
    </row>
    <row r="2" spans="1:11" ht="17.45" customHeight="1">
      <c r="A2" s="868" t="s">
        <v>283</v>
      </c>
      <c r="B2" s="869" t="s">
        <v>284</v>
      </c>
      <c r="C2" s="869"/>
      <c r="D2" s="869"/>
      <c r="E2" s="869"/>
      <c r="F2" s="869" t="s">
        <v>285</v>
      </c>
      <c r="G2" s="869"/>
      <c r="H2" s="869"/>
      <c r="I2" s="869" t="s">
        <v>286</v>
      </c>
      <c r="J2" s="869"/>
      <c r="K2" s="869"/>
    </row>
    <row r="3" spans="1:11" ht="18" customHeight="1">
      <c r="A3" s="868"/>
      <c r="B3" s="870" t="s">
        <v>287</v>
      </c>
      <c r="C3" s="870"/>
      <c r="D3" s="870"/>
      <c r="E3" s="870"/>
      <c r="F3" s="870" t="s">
        <v>288</v>
      </c>
      <c r="G3" s="870"/>
      <c r="H3" s="870"/>
      <c r="I3" s="870" t="s">
        <v>288</v>
      </c>
      <c r="J3" s="870"/>
      <c r="K3" s="870"/>
    </row>
    <row r="4" spans="1:11" s="587" customFormat="1" ht="42" customHeight="1">
      <c r="A4" s="868"/>
      <c r="B4" s="195" t="s">
        <v>289</v>
      </c>
      <c r="C4" s="195" t="s">
        <v>290</v>
      </c>
      <c r="D4" s="195" t="s">
        <v>291</v>
      </c>
      <c r="E4" s="195" t="s">
        <v>292</v>
      </c>
      <c r="F4" s="195" t="s">
        <v>293</v>
      </c>
      <c r="G4" s="195" t="s">
        <v>294</v>
      </c>
      <c r="H4" s="195" t="s">
        <v>291</v>
      </c>
      <c r="I4" s="195" t="s">
        <v>295</v>
      </c>
      <c r="J4" s="195" t="s">
        <v>294</v>
      </c>
      <c r="K4" s="195" t="s">
        <v>296</v>
      </c>
    </row>
    <row r="5" spans="1:11" ht="19.899999999999999" customHeight="1">
      <c r="A5" s="589" t="s">
        <v>297</v>
      </c>
      <c r="B5" s="590"/>
      <c r="C5" s="591"/>
      <c r="D5" s="591"/>
      <c r="E5" s="591"/>
      <c r="F5" s="591"/>
      <c r="G5" s="591"/>
      <c r="H5" s="591"/>
      <c r="I5" s="591"/>
      <c r="J5" s="591"/>
      <c r="K5" s="592"/>
    </row>
    <row r="6" spans="1:11" ht="19.899999999999999" customHeight="1">
      <c r="A6" s="638" t="s">
        <v>298</v>
      </c>
      <c r="B6" s="600">
        <v>-128189.05</v>
      </c>
      <c r="C6" s="600">
        <v>127355.52</v>
      </c>
      <c r="D6" s="600">
        <v>4086.25</v>
      </c>
      <c r="E6" s="600">
        <v>65297.37</v>
      </c>
      <c r="F6" s="600">
        <v>-70965.2</v>
      </c>
      <c r="G6" s="600">
        <v>62096.49</v>
      </c>
      <c r="H6" s="600">
        <v>70440.78</v>
      </c>
      <c r="I6" s="600">
        <v>-3156.5</v>
      </c>
      <c r="J6" s="600">
        <v>5331.41</v>
      </c>
      <c r="K6" s="600">
        <v>6386.37</v>
      </c>
    </row>
    <row r="7" spans="1:11" ht="19.899999999999999" customHeight="1">
      <c r="A7" s="636" t="s">
        <v>299</v>
      </c>
      <c r="B7" s="601">
        <v>-70217.149999999994</v>
      </c>
      <c r="C7" s="314">
        <v>69881.97</v>
      </c>
      <c r="D7" s="314">
        <v>4028.69</v>
      </c>
      <c r="E7" s="314">
        <v>56942.84</v>
      </c>
      <c r="F7" s="314">
        <v>-79309.58</v>
      </c>
      <c r="G7" s="314">
        <v>52246.37</v>
      </c>
      <c r="H7" s="314">
        <v>64720.18</v>
      </c>
      <c r="I7" s="314">
        <v>-4211.45</v>
      </c>
      <c r="J7" s="314">
        <v>6603.48</v>
      </c>
      <c r="K7" s="314">
        <v>6306.19</v>
      </c>
    </row>
    <row r="8" spans="1:11" ht="19.899999999999999" customHeight="1">
      <c r="A8" s="636" t="s">
        <v>300</v>
      </c>
      <c r="B8" s="601">
        <v>-60895.68</v>
      </c>
      <c r="C8" s="314">
        <v>80024.38</v>
      </c>
      <c r="D8" s="314">
        <v>3248.73</v>
      </c>
      <c r="E8" s="314">
        <v>66207.78</v>
      </c>
      <c r="F8" s="314">
        <v>-91783.23</v>
      </c>
      <c r="G8" s="314">
        <v>62863.19</v>
      </c>
      <c r="H8" s="314">
        <v>67466.720000000001</v>
      </c>
      <c r="I8" s="314">
        <v>-3914.16</v>
      </c>
      <c r="J8" s="314">
        <v>5446.3</v>
      </c>
      <c r="K8" s="314">
        <v>6307.6</v>
      </c>
    </row>
    <row r="9" spans="1:11" ht="19.899999999999999" customHeight="1">
      <c r="A9" s="636" t="s">
        <v>301</v>
      </c>
      <c r="B9" s="601">
        <v>-50738.86</v>
      </c>
      <c r="C9" s="314">
        <v>115008.8</v>
      </c>
      <c r="D9" s="314">
        <v>8252</v>
      </c>
      <c r="E9" s="314">
        <v>81461.039999999994</v>
      </c>
      <c r="F9" s="314">
        <v>-96386.59</v>
      </c>
      <c r="G9" s="314">
        <v>75601.87</v>
      </c>
      <c r="H9" s="314">
        <v>64987.94</v>
      </c>
      <c r="I9" s="314">
        <v>-4775.4399999999996</v>
      </c>
      <c r="J9" s="314">
        <v>8491.83</v>
      </c>
      <c r="K9" s="314">
        <v>7211.02</v>
      </c>
    </row>
    <row r="10" spans="1:11" ht="19.899999999999999" customHeight="1">
      <c r="A10" s="637" t="s">
        <v>40</v>
      </c>
      <c r="B10" s="314"/>
      <c r="C10" s="314">
        <v>392270.67</v>
      </c>
      <c r="D10" s="314">
        <v>19615.669999999998</v>
      </c>
      <c r="E10" s="314">
        <v>269909.03000000003</v>
      </c>
      <c r="F10" s="314"/>
      <c r="G10" s="314">
        <v>252807.92</v>
      </c>
      <c r="H10" s="314">
        <v>267615.62</v>
      </c>
      <c r="I10" s="314"/>
      <c r="J10" s="314">
        <v>25873.02</v>
      </c>
      <c r="K10" s="314">
        <v>26211.18</v>
      </c>
    </row>
    <row r="11" spans="1:11" ht="19.899999999999999" customHeight="1">
      <c r="A11" s="589" t="s">
        <v>302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</row>
    <row r="12" spans="1:11" ht="19.899999999999999" customHeight="1">
      <c r="A12" s="638" t="s">
        <v>303</v>
      </c>
      <c r="B12" s="601">
        <v>-25434.21</v>
      </c>
      <c r="C12" s="601">
        <v>32875.279999999999</v>
      </c>
      <c r="D12" s="601">
        <v>3562.39</v>
      </c>
      <c r="E12" s="601">
        <v>64042.06</v>
      </c>
      <c r="F12" s="601">
        <v>-85772.73</v>
      </c>
      <c r="G12" s="601">
        <v>57023.16</v>
      </c>
      <c r="H12" s="601">
        <v>62834.63</v>
      </c>
      <c r="I12" s="601">
        <v>-3494.63</v>
      </c>
      <c r="J12" s="601">
        <v>9169.08</v>
      </c>
      <c r="K12" s="601">
        <v>8579.57</v>
      </c>
    </row>
    <row r="13" spans="1:11" ht="19.899999999999999" customHeight="1">
      <c r="A13" s="636" t="s">
        <v>299</v>
      </c>
      <c r="B13" s="314">
        <v>-60021.93</v>
      </c>
      <c r="C13" s="601">
        <v>40267.269999999997</v>
      </c>
      <c r="D13" s="601">
        <v>3222.06</v>
      </c>
      <c r="E13" s="601">
        <v>61670.77</v>
      </c>
      <c r="F13" s="601">
        <v>-91584.21</v>
      </c>
      <c r="G13" s="601">
        <v>56664.03</v>
      </c>
      <c r="H13" s="601">
        <v>66754.84</v>
      </c>
      <c r="I13" s="601">
        <v>-2905.1</v>
      </c>
      <c r="J13" s="601">
        <v>7070.23</v>
      </c>
      <c r="K13" s="601">
        <v>6740.23</v>
      </c>
    </row>
    <row r="14" spans="1:11" ht="19.899999999999999" customHeight="1">
      <c r="A14" s="636" t="s">
        <v>304</v>
      </c>
      <c r="B14" s="314">
        <v>-84797.82</v>
      </c>
      <c r="C14" s="601">
        <v>71829.3</v>
      </c>
      <c r="D14" s="601">
        <v>3764.14</v>
      </c>
      <c r="E14" s="601">
        <v>73916.08</v>
      </c>
      <c r="F14" s="601">
        <v>-101675.02</v>
      </c>
      <c r="G14" s="601">
        <v>67701.5</v>
      </c>
      <c r="H14" s="601">
        <v>70391.199999999997</v>
      </c>
      <c r="I14" s="601">
        <v>-2575.09</v>
      </c>
      <c r="J14" s="601">
        <v>8558.92</v>
      </c>
      <c r="K14" s="601">
        <v>7828.82</v>
      </c>
    </row>
    <row r="15" spans="1:11" ht="19.899999999999999" customHeight="1">
      <c r="A15" s="636" t="s">
        <v>305</v>
      </c>
      <c r="B15" s="601">
        <v>-90648.72</v>
      </c>
      <c r="C15" s="601">
        <v>133536.15</v>
      </c>
      <c r="D15" s="601">
        <v>3880.77</v>
      </c>
      <c r="E15" s="601">
        <v>71052.67</v>
      </c>
      <c r="F15" s="601">
        <v>-104364.73</v>
      </c>
      <c r="G15" s="601">
        <v>65374.73</v>
      </c>
      <c r="H15" s="601">
        <v>65914.649999999994</v>
      </c>
      <c r="I15" s="601">
        <v>-1844.97</v>
      </c>
      <c r="J15" s="601">
        <v>8021.98</v>
      </c>
      <c r="K15" s="601">
        <v>8546.0300000000007</v>
      </c>
    </row>
    <row r="16" spans="1:11" ht="19.899999999999999" customHeight="1">
      <c r="A16" s="637" t="s">
        <v>40</v>
      </c>
      <c r="B16" s="601"/>
      <c r="C16" s="601">
        <v>278508</v>
      </c>
      <c r="D16" s="601">
        <v>14429.36</v>
      </c>
      <c r="E16" s="601">
        <v>270681.58</v>
      </c>
      <c r="F16" s="601"/>
      <c r="G16" s="601">
        <v>246763.42</v>
      </c>
      <c r="H16" s="601">
        <v>265895.32</v>
      </c>
      <c r="I16" s="601"/>
      <c r="J16" s="601">
        <v>32820.21</v>
      </c>
      <c r="K16" s="601">
        <v>31694.65</v>
      </c>
    </row>
    <row r="17" spans="1:11" ht="19.899999999999999" customHeight="1">
      <c r="A17" s="589" t="s">
        <v>306</v>
      </c>
      <c r="B17" s="599"/>
      <c r="C17" s="599"/>
      <c r="D17" s="599"/>
      <c r="E17" s="599"/>
      <c r="F17" s="599"/>
      <c r="G17" s="599"/>
      <c r="H17" s="599"/>
      <c r="I17" s="599"/>
      <c r="J17" s="599"/>
      <c r="K17" s="599"/>
    </row>
    <row r="18" spans="1:11" ht="19.899999999999999" customHeight="1">
      <c r="A18" s="638" t="s">
        <v>303</v>
      </c>
      <c r="B18" s="601">
        <v>-32046.01</v>
      </c>
      <c r="C18" s="601">
        <v>70158.759999999995</v>
      </c>
      <c r="D18" s="601">
        <v>3631.76</v>
      </c>
      <c r="E18" s="601">
        <v>70042.37</v>
      </c>
      <c r="F18" s="601">
        <v>-104904.72</v>
      </c>
      <c r="G18" s="601">
        <v>64770.03</v>
      </c>
      <c r="H18" s="601">
        <v>59154.28</v>
      </c>
      <c r="I18" s="601">
        <v>-2369.02</v>
      </c>
      <c r="J18" s="601">
        <v>6730</v>
      </c>
      <c r="K18" s="601">
        <v>8409.44</v>
      </c>
    </row>
    <row r="19" spans="1:11" ht="19.899999999999999" customHeight="1">
      <c r="A19" s="636" t="s">
        <v>299</v>
      </c>
      <c r="B19" s="600">
        <v>-35561.370000000003</v>
      </c>
      <c r="C19" s="600">
        <v>52413.61</v>
      </c>
      <c r="D19" s="600">
        <v>4269.1000000000004</v>
      </c>
      <c r="E19" s="600">
        <v>68352.42</v>
      </c>
      <c r="F19" s="600">
        <v>-99288.93</v>
      </c>
      <c r="G19" s="600">
        <v>63124.75</v>
      </c>
      <c r="H19" s="600">
        <v>42999.519999999997</v>
      </c>
      <c r="I19" s="600">
        <v>-4048.5</v>
      </c>
      <c r="J19" s="600">
        <v>7389.53</v>
      </c>
      <c r="K19" s="600">
        <v>6888.95</v>
      </c>
    </row>
    <row r="20" spans="1:11" ht="19.899999999999999" customHeight="1">
      <c r="A20" s="636" t="s">
        <v>307</v>
      </c>
      <c r="B20" s="464">
        <v>-55730.48</v>
      </c>
      <c r="C20" s="464">
        <v>75145.350000000006</v>
      </c>
      <c r="D20" s="464">
        <v>2128.84</v>
      </c>
      <c r="E20" s="464">
        <v>31894.06</v>
      </c>
      <c r="F20" s="464">
        <v>-79163.69</v>
      </c>
      <c r="G20" s="464">
        <v>32107.05</v>
      </c>
      <c r="H20" s="464">
        <v>9710.44</v>
      </c>
      <c r="I20" s="464">
        <v>-3547.91</v>
      </c>
      <c r="J20" s="464">
        <v>749.82</v>
      </c>
      <c r="K20" s="464">
        <v>6514.69</v>
      </c>
    </row>
    <row r="21" spans="1:11" ht="19.899999999999999" customHeight="1">
      <c r="A21" s="173" t="s">
        <v>308</v>
      </c>
      <c r="B21" s="593"/>
      <c r="C21" s="594"/>
      <c r="D21" s="594"/>
      <c r="E21" s="594"/>
      <c r="F21" s="594"/>
      <c r="G21" s="594"/>
      <c r="H21" s="594"/>
      <c r="I21" s="594"/>
      <c r="J21" s="594"/>
      <c r="K21" s="595"/>
    </row>
    <row r="22" spans="1:11" ht="19.899999999999999" customHeight="1">
      <c r="A22" s="636" t="s">
        <v>309</v>
      </c>
      <c r="B22" s="600">
        <v>-2836.81</v>
      </c>
      <c r="C22" s="600">
        <v>312784.77</v>
      </c>
      <c r="D22" s="600">
        <v>140038.29</v>
      </c>
      <c r="E22" s="600">
        <v>148132.43</v>
      </c>
      <c r="F22" s="600">
        <v>-73181.649999999994</v>
      </c>
      <c r="G22" s="600">
        <v>129100.98</v>
      </c>
      <c r="H22" s="600">
        <v>173427.97</v>
      </c>
      <c r="I22" s="600">
        <v>-7803.74</v>
      </c>
      <c r="J22" s="600">
        <v>23637.72</v>
      </c>
      <c r="K22" s="600">
        <v>22996.27</v>
      </c>
    </row>
    <row r="23" spans="1:11" ht="19.899999999999999" customHeight="1">
      <c r="A23" s="636" t="s">
        <v>310</v>
      </c>
      <c r="B23" s="600">
        <v>21777.23</v>
      </c>
      <c r="C23" s="600">
        <v>351714.17</v>
      </c>
      <c r="D23" s="600">
        <v>314867.46999999997</v>
      </c>
      <c r="E23" s="600">
        <v>211525.25</v>
      </c>
      <c r="F23" s="600">
        <v>-117530.85</v>
      </c>
      <c r="G23" s="600">
        <v>194561.87</v>
      </c>
      <c r="H23" s="600">
        <v>175283.45</v>
      </c>
      <c r="I23" s="600">
        <v>-7162.28</v>
      </c>
      <c r="J23" s="600">
        <v>23632.2</v>
      </c>
      <c r="K23" s="600">
        <v>21924.75</v>
      </c>
    </row>
    <row r="24" spans="1:11" ht="19.899999999999999" customHeight="1">
      <c r="A24" s="636" t="s">
        <v>311</v>
      </c>
      <c r="B24" s="600">
        <v>-152901.32</v>
      </c>
      <c r="C24" s="600">
        <v>564335.26</v>
      </c>
      <c r="D24" s="600">
        <v>243977.87</v>
      </c>
      <c r="E24" s="600">
        <v>202940.9</v>
      </c>
      <c r="F24" s="600">
        <v>-98269.15</v>
      </c>
      <c r="G24" s="600">
        <v>141420.31</v>
      </c>
      <c r="H24" s="600">
        <v>163005.32</v>
      </c>
      <c r="I24" s="600">
        <v>-5454.85</v>
      </c>
      <c r="J24" s="600">
        <v>18667.63</v>
      </c>
      <c r="K24" s="600">
        <v>20986.91</v>
      </c>
    </row>
    <row r="25" spans="1:11" ht="19.899999999999999" customHeight="1">
      <c r="A25" s="636" t="s">
        <v>312</v>
      </c>
      <c r="B25" s="600">
        <v>-35172.19</v>
      </c>
      <c r="C25" s="600">
        <v>282236.71999999997</v>
      </c>
      <c r="D25" s="600">
        <v>138227.51999999999</v>
      </c>
      <c r="E25" s="600">
        <v>136097.19</v>
      </c>
      <c r="F25" s="600">
        <v>-119854.22</v>
      </c>
      <c r="G25" s="600">
        <v>124042.4</v>
      </c>
      <c r="H25" s="600">
        <v>172227.42</v>
      </c>
      <c r="I25" s="600">
        <v>-7774.12</v>
      </c>
      <c r="J25" s="600">
        <v>16408.61</v>
      </c>
      <c r="K25" s="600">
        <v>15556.52</v>
      </c>
    </row>
    <row r="26" spans="1:11" ht="19.899999999999999" customHeight="1">
      <c r="A26" s="636" t="s">
        <v>313</v>
      </c>
      <c r="B26" s="600">
        <v>-27260.17</v>
      </c>
      <c r="C26" s="600">
        <v>410357.98</v>
      </c>
      <c r="D26" s="600">
        <v>188227.31</v>
      </c>
      <c r="E26" s="600">
        <v>240645.46</v>
      </c>
      <c r="F26" s="600">
        <v>-168091.54</v>
      </c>
      <c r="G26" s="600">
        <v>229528.12</v>
      </c>
      <c r="H26" s="600">
        <v>192833.82</v>
      </c>
      <c r="I26" s="600">
        <v>-6922.08</v>
      </c>
      <c r="J26" s="600">
        <v>18550.18</v>
      </c>
      <c r="K26" s="600">
        <v>17559.509999999998</v>
      </c>
    </row>
    <row r="27" spans="1:11" ht="19.899999999999999" customHeight="1">
      <c r="A27" s="636" t="s">
        <v>314</v>
      </c>
      <c r="B27" s="600">
        <v>-45774.96</v>
      </c>
      <c r="C27" s="600">
        <v>264093.03999999998</v>
      </c>
      <c r="D27" s="600">
        <v>199195.01</v>
      </c>
      <c r="E27" s="600">
        <v>212326.08</v>
      </c>
      <c r="F27" s="600">
        <v>-131397.54</v>
      </c>
      <c r="G27" s="600">
        <v>199166.5</v>
      </c>
      <c r="H27" s="600">
        <v>198960.53</v>
      </c>
      <c r="I27" s="600">
        <v>-5931.35</v>
      </c>
      <c r="J27" s="600">
        <v>20451.36</v>
      </c>
      <c r="K27" s="600">
        <v>13821.06</v>
      </c>
    </row>
    <row r="28" spans="1:11" ht="19.899999999999999" customHeight="1">
      <c r="A28" s="636" t="s">
        <v>315</v>
      </c>
      <c r="B28" s="600">
        <v>-193203</v>
      </c>
      <c r="C28" s="600">
        <v>610930.15</v>
      </c>
      <c r="D28" s="600">
        <v>263208.25</v>
      </c>
      <c r="E28" s="600">
        <v>178583.76</v>
      </c>
      <c r="F28" s="600">
        <v>-131240.67000000001</v>
      </c>
      <c r="G28" s="600">
        <v>162997.51</v>
      </c>
      <c r="H28" s="600">
        <v>200255.24</v>
      </c>
      <c r="I28" s="600">
        <v>698.96</v>
      </c>
      <c r="J28" s="600">
        <v>21613.1</v>
      </c>
      <c r="K28" s="600">
        <v>32571.64</v>
      </c>
    </row>
    <row r="29" spans="1:11" ht="19.899999999999999" customHeight="1">
      <c r="A29" s="636" t="s">
        <v>316</v>
      </c>
      <c r="B29" s="600">
        <v>-24064.83</v>
      </c>
      <c r="C29" s="600">
        <v>641272.17000000004</v>
      </c>
      <c r="D29" s="600">
        <v>244645.78</v>
      </c>
      <c r="E29" s="600">
        <v>250148.43</v>
      </c>
      <c r="F29" s="600">
        <v>-169805.59</v>
      </c>
      <c r="G29" s="600">
        <v>217164.57</v>
      </c>
      <c r="H29" s="600">
        <v>203406</v>
      </c>
      <c r="I29" s="600">
        <v>-10259.64</v>
      </c>
      <c r="J29" s="600">
        <v>27146.29</v>
      </c>
      <c r="K29" s="600">
        <v>20157.900000000001</v>
      </c>
    </row>
    <row r="30" spans="1:11" ht="19.899999999999999" customHeight="1">
      <c r="A30" s="636" t="s">
        <v>317</v>
      </c>
      <c r="B30" s="599">
        <v>135541.69</v>
      </c>
      <c r="C30" s="600">
        <v>278999.21999999997</v>
      </c>
      <c r="D30" s="600">
        <v>266834.21000000002</v>
      </c>
      <c r="E30" s="600">
        <v>236153.21</v>
      </c>
      <c r="F30" s="600">
        <v>-156046.88</v>
      </c>
      <c r="G30" s="600">
        <v>222418.33</v>
      </c>
      <c r="H30" s="600">
        <v>220446.38</v>
      </c>
      <c r="I30" s="600">
        <v>-3271.29</v>
      </c>
      <c r="J30" s="600">
        <v>20959.34</v>
      </c>
      <c r="K30" s="600">
        <v>21414.03</v>
      </c>
    </row>
    <row r="31" spans="1:11" ht="19.899999999999999" customHeight="1">
      <c r="A31" s="636" t="s">
        <v>318</v>
      </c>
      <c r="B31" s="600">
        <v>-88446.5</v>
      </c>
      <c r="C31" s="600">
        <v>427902.62</v>
      </c>
      <c r="D31" s="600">
        <v>142623.60999999999</v>
      </c>
      <c r="E31" s="600">
        <v>290031.35999999999</v>
      </c>
      <c r="F31" s="600">
        <v>-154074.91</v>
      </c>
      <c r="G31" s="600">
        <v>276671.74</v>
      </c>
      <c r="H31" s="600">
        <v>263039.03000000003</v>
      </c>
      <c r="I31" s="600">
        <v>-3725.97</v>
      </c>
      <c r="J31" s="600">
        <v>22520.59</v>
      </c>
      <c r="K31" s="600">
        <v>22116.080000000002</v>
      </c>
    </row>
    <row r="32" spans="1:11" ht="19.899999999999999" customHeight="1">
      <c r="A32" s="636" t="s">
        <v>319</v>
      </c>
      <c r="B32" s="600">
        <v>-93198.86</v>
      </c>
      <c r="C32" s="600">
        <v>360354.55</v>
      </c>
      <c r="D32" s="600">
        <v>74975.72</v>
      </c>
      <c r="E32" s="600">
        <v>266892.24</v>
      </c>
      <c r="F32" s="600">
        <v>-140442.21</v>
      </c>
      <c r="G32" s="600">
        <v>250989.4</v>
      </c>
      <c r="H32" s="600">
        <v>255870.46</v>
      </c>
      <c r="I32" s="600">
        <v>-3321.48</v>
      </c>
      <c r="J32" s="600">
        <v>24060.81</v>
      </c>
      <c r="K32" s="600">
        <v>28547.95</v>
      </c>
    </row>
    <row r="33" spans="1:11" ht="19.899999999999999" customHeight="1">
      <c r="A33" s="636" t="s">
        <v>320</v>
      </c>
      <c r="B33" s="600">
        <v>-74438.86</v>
      </c>
      <c r="C33" s="600">
        <v>373063.44</v>
      </c>
      <c r="D33" s="600">
        <v>64496.24</v>
      </c>
      <c r="E33" s="600">
        <v>352824.12</v>
      </c>
      <c r="F33" s="600">
        <v>-145323.29</v>
      </c>
      <c r="G33" s="600">
        <v>339569.12</v>
      </c>
      <c r="H33" s="600">
        <v>274285.76</v>
      </c>
      <c r="I33" s="600">
        <v>-7808.64</v>
      </c>
      <c r="J33" s="600">
        <v>25115.7</v>
      </c>
      <c r="K33" s="600">
        <v>28656.97</v>
      </c>
    </row>
    <row r="34" spans="1:11" ht="19.899999999999999" customHeight="1">
      <c r="A34" s="639" t="s">
        <v>321</v>
      </c>
      <c r="B34" s="600">
        <v>-118695.79</v>
      </c>
      <c r="C34" s="600">
        <v>291569.74</v>
      </c>
      <c r="D34" s="600">
        <v>69568.13</v>
      </c>
      <c r="E34" s="600">
        <v>252350.64</v>
      </c>
      <c r="F34" s="600">
        <v>-80039.97</v>
      </c>
      <c r="G34" s="600">
        <v>235720.29</v>
      </c>
      <c r="H34" s="600">
        <v>272459.52000000002</v>
      </c>
      <c r="I34" s="600">
        <v>-11349.85</v>
      </c>
      <c r="J34" s="600">
        <v>24911.17</v>
      </c>
      <c r="K34" s="600">
        <v>24441.45</v>
      </c>
    </row>
    <row r="35" spans="1:11" ht="19.899999999999999" customHeight="1">
      <c r="A35" s="636" t="s">
        <v>322</v>
      </c>
      <c r="B35" s="600">
        <v>-149044.85</v>
      </c>
      <c r="C35" s="600">
        <v>389206.57</v>
      </c>
      <c r="D35" s="600">
        <v>29091.439999999999</v>
      </c>
      <c r="E35" s="600">
        <v>339259.34</v>
      </c>
      <c r="F35" s="600">
        <v>-116779.04</v>
      </c>
      <c r="G35" s="600">
        <v>318460.48</v>
      </c>
      <c r="H35" s="600">
        <v>272646.61</v>
      </c>
      <c r="I35" s="600">
        <v>-10880.09</v>
      </c>
      <c r="J35" s="600">
        <v>32080.25</v>
      </c>
      <c r="K35" s="600">
        <v>24356.62</v>
      </c>
    </row>
    <row r="36" spans="1:11" ht="21" customHeight="1">
      <c r="A36" s="636" t="s">
        <v>323</v>
      </c>
      <c r="B36" s="600">
        <v>-128189.05</v>
      </c>
      <c r="C36" s="313">
        <v>392270.67</v>
      </c>
      <c r="D36" s="313">
        <v>19615.669999999998</v>
      </c>
      <c r="E36" s="313">
        <v>269909.03000000003</v>
      </c>
      <c r="F36" s="313">
        <v>-70965.2</v>
      </c>
      <c r="G36" s="313">
        <v>252807.92</v>
      </c>
      <c r="H36" s="313">
        <v>267615.62</v>
      </c>
      <c r="I36" s="313">
        <v>-3156.5</v>
      </c>
      <c r="J36" s="313">
        <v>25873.02</v>
      </c>
      <c r="K36" s="313">
        <v>26211.18</v>
      </c>
    </row>
    <row r="37" spans="1:11" ht="21" customHeight="1">
      <c r="A37" s="636" t="s">
        <v>324</v>
      </c>
      <c r="B37" s="602">
        <v>-25434.21</v>
      </c>
      <c r="C37" s="601">
        <v>278508</v>
      </c>
      <c r="D37" s="313">
        <v>14429.36</v>
      </c>
      <c r="E37" s="601">
        <v>270681.58</v>
      </c>
      <c r="F37" s="313">
        <v>-85772.73</v>
      </c>
      <c r="G37" s="601">
        <v>246763.42</v>
      </c>
      <c r="H37" s="601">
        <v>265895.32</v>
      </c>
      <c r="I37" s="313">
        <v>-3494.63</v>
      </c>
      <c r="J37" s="313">
        <v>32820.21</v>
      </c>
      <c r="K37" s="601">
        <v>31694.65</v>
      </c>
    </row>
    <row r="38" spans="1:11" ht="21" customHeight="1">
      <c r="A38" s="640" t="s">
        <v>325</v>
      </c>
      <c r="B38" s="628">
        <v>-32046</v>
      </c>
      <c r="C38" s="629" t="s">
        <v>171</v>
      </c>
      <c r="D38" s="629" t="s">
        <v>171</v>
      </c>
      <c r="E38" s="630">
        <v>284940</v>
      </c>
      <c r="F38" s="629" t="s">
        <v>326</v>
      </c>
      <c r="G38" s="629" t="s">
        <v>171</v>
      </c>
      <c r="H38" s="629" t="s">
        <v>171</v>
      </c>
      <c r="I38" s="629" t="s">
        <v>171</v>
      </c>
      <c r="J38" s="629" t="s">
        <v>171</v>
      </c>
      <c r="K38" s="629" t="s">
        <v>171</v>
      </c>
    </row>
    <row r="39" spans="1:11" ht="21" customHeight="1">
      <c r="A39" s="637" t="s">
        <v>327</v>
      </c>
      <c r="B39" s="634" t="s">
        <v>171</v>
      </c>
      <c r="C39" s="632" t="s">
        <v>171</v>
      </c>
      <c r="D39" s="633" t="s">
        <v>171</v>
      </c>
      <c r="E39" s="631">
        <v>285375</v>
      </c>
      <c r="F39" s="633" t="s">
        <v>171</v>
      </c>
      <c r="G39" s="633" t="s">
        <v>171</v>
      </c>
      <c r="H39" s="633" t="s">
        <v>171</v>
      </c>
      <c r="I39" s="633" t="s">
        <v>171</v>
      </c>
      <c r="J39" s="633" t="s">
        <v>171</v>
      </c>
      <c r="K39" s="633" t="s">
        <v>171</v>
      </c>
    </row>
    <row r="40" spans="1:11" ht="21" customHeight="1">
      <c r="A40" s="603"/>
      <c r="B40" s="606"/>
      <c r="C40" s="604"/>
      <c r="D40" s="604"/>
      <c r="E40" s="605"/>
      <c r="F40" s="604"/>
      <c r="G40" s="604"/>
      <c r="H40" s="604"/>
      <c r="I40" s="604"/>
      <c r="J40" s="604"/>
      <c r="K40" s="604"/>
    </row>
    <row r="41" spans="1:11" ht="20.45" customHeight="1">
      <c r="A41" s="596" t="s">
        <v>328</v>
      </c>
      <c r="B41" s="596"/>
      <c r="C41" s="596"/>
      <c r="D41" s="596"/>
      <c r="E41" s="596"/>
      <c r="F41" s="596"/>
      <c r="G41" s="596"/>
      <c r="H41" s="596"/>
      <c r="I41" s="596"/>
      <c r="J41" s="596"/>
      <c r="K41" s="596"/>
    </row>
    <row r="42" spans="1:11" ht="20.45" customHeight="1">
      <c r="A42" s="864" t="s">
        <v>329</v>
      </c>
      <c r="B42" s="864"/>
      <c r="C42" s="864"/>
      <c r="D42" s="864"/>
      <c r="E42" s="864"/>
      <c r="F42" s="864"/>
      <c r="G42" s="864"/>
      <c r="H42" s="864"/>
      <c r="I42" s="864"/>
      <c r="J42" s="864"/>
      <c r="K42" s="864"/>
    </row>
    <row r="43" spans="1:11" ht="20.45" customHeight="1">
      <c r="A43" s="597" t="s">
        <v>330</v>
      </c>
      <c r="B43" s="597"/>
      <c r="C43" s="597"/>
      <c r="D43" s="597"/>
      <c r="E43" s="597"/>
      <c r="F43" s="597"/>
      <c r="G43" s="597"/>
      <c r="H43" s="597"/>
      <c r="I43" s="597"/>
      <c r="J43" s="597"/>
      <c r="K43" s="597"/>
    </row>
    <row r="44" spans="1:11" ht="20.45" customHeight="1">
      <c r="A44" s="864" t="s">
        <v>331</v>
      </c>
      <c r="B44" s="864"/>
      <c r="C44" s="864"/>
      <c r="D44" s="864"/>
      <c r="E44" s="864"/>
      <c r="F44" s="864"/>
      <c r="G44" s="864"/>
      <c r="H44" s="864"/>
      <c r="I44" s="864"/>
      <c r="J44" s="864"/>
      <c r="K44" s="864"/>
    </row>
    <row r="45" spans="1:11" ht="20.45" customHeight="1">
      <c r="A45" s="864" t="s">
        <v>332</v>
      </c>
      <c r="B45" s="864"/>
      <c r="C45" s="864"/>
      <c r="D45" s="864"/>
      <c r="E45" s="864"/>
      <c r="F45" s="864"/>
      <c r="G45" s="864"/>
      <c r="H45" s="864"/>
      <c r="I45" s="864"/>
      <c r="J45" s="864"/>
      <c r="K45" s="864"/>
    </row>
    <row r="46" spans="1:11" ht="19.149999999999999" customHeight="1">
      <c r="A46" s="174" t="s">
        <v>333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</row>
    <row r="47" spans="1:11" ht="19.149999999999999" customHeight="1">
      <c r="A47" s="598" t="s">
        <v>334</v>
      </c>
      <c r="B47" s="598"/>
      <c r="C47" s="598"/>
      <c r="D47" s="598"/>
      <c r="E47" s="598"/>
      <c r="F47" s="598"/>
      <c r="G47" s="596"/>
      <c r="H47" s="596"/>
      <c r="I47" s="596"/>
      <c r="J47" s="596"/>
      <c r="K47" s="596"/>
    </row>
    <row r="48" spans="1:11" ht="19.149999999999999" customHeight="1">
      <c r="A48" s="598" t="s">
        <v>335</v>
      </c>
      <c r="B48" s="598"/>
      <c r="C48" s="598"/>
      <c r="D48" s="598"/>
      <c r="E48" s="598"/>
      <c r="F48" s="598"/>
      <c r="G48" s="596"/>
      <c r="H48" s="596"/>
      <c r="I48" s="596"/>
      <c r="J48" s="596"/>
      <c r="K48" s="596"/>
    </row>
    <row r="49" spans="1:7" ht="18">
      <c r="A49" s="596" t="s">
        <v>336</v>
      </c>
      <c r="B49" s="596"/>
      <c r="C49" s="596"/>
      <c r="D49" s="596"/>
      <c r="E49" s="596"/>
      <c r="F49" s="596"/>
      <c r="G49" s="596"/>
    </row>
    <row r="51" spans="1:7">
      <c r="B51" s="668"/>
    </row>
    <row r="52" spans="1:7">
      <c r="B52" s="668"/>
    </row>
  </sheetData>
  <mergeCells count="11">
    <mergeCell ref="A42:K42"/>
    <mergeCell ref="A44:K44"/>
    <mergeCell ref="A45:K45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F3801-CFEC-4862-ABF4-7E26B3191B7C}">
  <sheetPr>
    <pageSetUpPr fitToPage="1"/>
  </sheetPr>
  <dimension ref="A1:N41"/>
  <sheetViews>
    <sheetView showGridLines="0" topLeftCell="C9" zoomScaleNormal="100" zoomScaleSheetLayoutView="75" workbookViewId="0">
      <selection activeCell="O36" sqref="O36"/>
    </sheetView>
  </sheetViews>
  <sheetFormatPr defaultColWidth="8.85546875" defaultRowHeight="12.75"/>
  <cols>
    <col min="1" max="1" width="26.7109375" style="200" customWidth="1"/>
    <col min="2" max="2" width="10.7109375" style="200" customWidth="1"/>
    <col min="3" max="3" width="11" style="200" customWidth="1"/>
    <col min="4" max="4" width="11.28515625" style="200" customWidth="1"/>
    <col min="5" max="5" width="11.5703125" style="200" customWidth="1"/>
    <col min="6" max="6" width="11.7109375" style="200" customWidth="1"/>
    <col min="7" max="7" width="10" style="200" customWidth="1"/>
    <col min="8" max="8" width="10.7109375" style="200" customWidth="1"/>
    <col min="9" max="9" width="8.7109375" style="200" customWidth="1"/>
    <col min="10" max="10" width="9.5703125" style="200" customWidth="1"/>
    <col min="11" max="11" width="10.7109375" style="200" customWidth="1"/>
    <col min="12" max="13" width="8.7109375" style="200" customWidth="1"/>
    <col min="14" max="14" width="16.85546875" style="200" customWidth="1"/>
    <col min="15" max="16384" width="8.85546875" style="200"/>
  </cols>
  <sheetData>
    <row r="1" spans="1:14" ht="21.6" customHeight="1">
      <c r="A1" s="871" t="s">
        <v>337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</row>
    <row r="2" spans="1:14" ht="28.5">
      <c r="A2" s="391"/>
      <c r="B2" s="452" t="s">
        <v>338</v>
      </c>
      <c r="C2" s="73" t="s">
        <v>339</v>
      </c>
      <c r="D2" s="73" t="s">
        <v>340</v>
      </c>
      <c r="E2" s="73" t="s">
        <v>51</v>
      </c>
      <c r="F2" s="73" t="s">
        <v>52</v>
      </c>
      <c r="G2" s="73" t="s">
        <v>341</v>
      </c>
      <c r="H2" s="73" t="s">
        <v>342</v>
      </c>
      <c r="I2" s="73" t="s">
        <v>343</v>
      </c>
      <c r="J2" s="73" t="s">
        <v>56</v>
      </c>
      <c r="K2" s="73" t="s">
        <v>57</v>
      </c>
      <c r="L2" s="73" t="s">
        <v>58</v>
      </c>
      <c r="M2" s="74" t="s">
        <v>59</v>
      </c>
      <c r="N2" s="390" t="s">
        <v>60</v>
      </c>
    </row>
    <row r="3" spans="1:14" ht="15">
      <c r="A3" s="584"/>
      <c r="B3" s="873" t="s">
        <v>61</v>
      </c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5"/>
      <c r="N3" s="390"/>
    </row>
    <row r="4" spans="1:14" ht="15">
      <c r="A4" s="678"/>
      <c r="B4" s="669"/>
      <c r="C4" s="669"/>
      <c r="D4" s="670"/>
      <c r="E4" s="671"/>
      <c r="F4" s="670"/>
      <c r="G4" s="670"/>
      <c r="H4" s="670"/>
      <c r="I4" s="670"/>
      <c r="J4" s="670"/>
      <c r="K4" s="670"/>
      <c r="L4" s="670"/>
      <c r="M4" s="670"/>
      <c r="N4" s="71"/>
    </row>
    <row r="5" spans="1:14" ht="15">
      <c r="A5" s="586" t="s">
        <v>344</v>
      </c>
      <c r="B5" s="144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202"/>
      <c r="N5" s="71"/>
    </row>
    <row r="6" spans="1:14" ht="14.25">
      <c r="A6" s="585" t="s">
        <v>112</v>
      </c>
      <c r="B6" s="720">
        <v>27427.119999999999</v>
      </c>
      <c r="C6" s="720">
        <v>6503.7200000000012</v>
      </c>
      <c r="D6" s="720">
        <v>27141.58</v>
      </c>
      <c r="E6" s="720">
        <v>3957.28</v>
      </c>
      <c r="F6" s="720">
        <v>8155.3599999999988</v>
      </c>
      <c r="G6" s="720">
        <v>3242.9700000000003</v>
      </c>
      <c r="H6" s="720">
        <v>12631.269999999999</v>
      </c>
      <c r="I6" s="468">
        <v>16323.929999999998</v>
      </c>
      <c r="J6" s="627">
        <v>6532.25</v>
      </c>
      <c r="K6" s="467"/>
      <c r="L6" s="467"/>
      <c r="M6" s="202"/>
      <c r="N6" s="251">
        <f>SUM(B6:M6)</f>
        <v>111915.48</v>
      </c>
    </row>
    <row r="7" spans="1:14" ht="14.25">
      <c r="A7" s="585" t="s">
        <v>123</v>
      </c>
      <c r="B7" s="720">
        <v>1532.85</v>
      </c>
      <c r="C7" s="720">
        <v>1836.23</v>
      </c>
      <c r="D7" s="720">
        <v>512.35</v>
      </c>
      <c r="E7" s="720">
        <v>192.69</v>
      </c>
      <c r="F7" s="720">
        <v>1625.7</v>
      </c>
      <c r="G7" s="720">
        <v>2508.08</v>
      </c>
      <c r="H7" s="720">
        <v>19086.79</v>
      </c>
      <c r="I7" s="468">
        <v>1823.32</v>
      </c>
      <c r="J7" s="627">
        <v>25316.959999999999</v>
      </c>
      <c r="K7" s="467"/>
      <c r="L7" s="467"/>
      <c r="M7" s="202"/>
      <c r="N7" s="251">
        <f>SUM(B7:M7)</f>
        <v>54434.97</v>
      </c>
    </row>
    <row r="8" spans="1:14" ht="14.25">
      <c r="A8" s="585" t="s">
        <v>113</v>
      </c>
      <c r="B8" s="720">
        <v>25</v>
      </c>
      <c r="C8" s="720">
        <v>1524</v>
      </c>
      <c r="D8" s="720">
        <v>3146.25</v>
      </c>
      <c r="E8" s="720">
        <v>2216.35</v>
      </c>
      <c r="F8" s="720">
        <v>1198.53</v>
      </c>
      <c r="G8" s="720">
        <v>1675.5300000000002</v>
      </c>
      <c r="H8" s="720">
        <v>628.93999999999994</v>
      </c>
      <c r="I8" s="468">
        <v>366.65999999999997</v>
      </c>
      <c r="J8" s="627">
        <v>717.17000000000007</v>
      </c>
      <c r="K8" s="467"/>
      <c r="L8" s="467"/>
      <c r="M8" s="202"/>
      <c r="N8" s="251">
        <f t="shared" ref="N8:N30" si="0">SUM(B8:M8)</f>
        <v>11498.43</v>
      </c>
    </row>
    <row r="9" spans="1:14" ht="14.25">
      <c r="A9" s="585" t="s">
        <v>134</v>
      </c>
      <c r="B9" s="720">
        <v>0</v>
      </c>
      <c r="C9" s="720">
        <v>0</v>
      </c>
      <c r="D9" s="720">
        <v>312</v>
      </c>
      <c r="E9" s="720">
        <v>10375</v>
      </c>
      <c r="F9" s="720">
        <v>0</v>
      </c>
      <c r="G9" s="720">
        <v>0</v>
      </c>
      <c r="H9" s="720">
        <v>0</v>
      </c>
      <c r="I9" s="468">
        <v>0</v>
      </c>
      <c r="J9" s="468">
        <v>0</v>
      </c>
      <c r="K9" s="467"/>
      <c r="L9" s="467"/>
      <c r="M9" s="202"/>
      <c r="N9" s="251">
        <f t="shared" si="0"/>
        <v>10687</v>
      </c>
    </row>
    <row r="10" spans="1:14" ht="14.25">
      <c r="A10" s="585" t="s">
        <v>119</v>
      </c>
      <c r="B10" s="720">
        <v>0</v>
      </c>
      <c r="C10" s="720">
        <v>519.51</v>
      </c>
      <c r="D10" s="720">
        <v>778.6</v>
      </c>
      <c r="E10" s="720">
        <v>0</v>
      </c>
      <c r="F10" s="720">
        <v>5.73</v>
      </c>
      <c r="G10" s="720">
        <v>13.84</v>
      </c>
      <c r="H10" s="720">
        <v>1257.33</v>
      </c>
      <c r="I10" s="468">
        <v>2476.5500000000002</v>
      </c>
      <c r="J10" s="627">
        <v>12942.109999999999</v>
      </c>
      <c r="K10" s="467"/>
      <c r="L10" s="467"/>
      <c r="M10" s="202"/>
      <c r="N10" s="251">
        <f t="shared" si="0"/>
        <v>17993.669999999998</v>
      </c>
    </row>
    <row r="11" spans="1:14" ht="14.25">
      <c r="A11" s="585" t="s">
        <v>345</v>
      </c>
      <c r="B11" s="720">
        <v>328.60999999999996</v>
      </c>
      <c r="C11" s="720">
        <v>251.46</v>
      </c>
      <c r="D11" s="720">
        <v>404.14</v>
      </c>
      <c r="E11" s="720">
        <v>395.41</v>
      </c>
      <c r="F11" s="720">
        <v>320.12</v>
      </c>
      <c r="G11" s="720">
        <v>443.55</v>
      </c>
      <c r="H11" s="720">
        <v>444.46000000000004</v>
      </c>
      <c r="I11" s="468">
        <v>688.53</v>
      </c>
      <c r="J11" s="627">
        <v>640.67999999999995</v>
      </c>
      <c r="K11" s="467"/>
      <c r="L11" s="467"/>
      <c r="M11" s="202"/>
      <c r="N11" s="251">
        <f t="shared" si="0"/>
        <v>3916.9599999999996</v>
      </c>
    </row>
    <row r="12" spans="1:14" ht="14.25">
      <c r="A12" s="585" t="s">
        <v>115</v>
      </c>
      <c r="B12" s="720">
        <v>1355.73</v>
      </c>
      <c r="C12" s="720">
        <v>266.81</v>
      </c>
      <c r="D12" s="720">
        <v>96.68</v>
      </c>
      <c r="E12" s="720">
        <v>18.89</v>
      </c>
      <c r="F12" s="720">
        <v>0</v>
      </c>
      <c r="G12" s="720">
        <v>207.78</v>
      </c>
      <c r="H12" s="720">
        <v>374</v>
      </c>
      <c r="I12" s="468">
        <v>289</v>
      </c>
      <c r="J12" s="627">
        <v>338.40999999999997</v>
      </c>
      <c r="K12" s="467"/>
      <c r="L12" s="467"/>
      <c r="M12" s="202"/>
      <c r="N12" s="251">
        <f t="shared" si="0"/>
        <v>2947.3</v>
      </c>
    </row>
    <row r="13" spans="1:14" ht="14.25">
      <c r="A13" s="585" t="s">
        <v>137</v>
      </c>
      <c r="B13" s="720">
        <v>50</v>
      </c>
      <c r="C13" s="720">
        <v>315.58000000000004</v>
      </c>
      <c r="D13" s="720">
        <v>116.84</v>
      </c>
      <c r="E13" s="720">
        <v>368</v>
      </c>
      <c r="F13" s="720">
        <v>108</v>
      </c>
      <c r="G13" s="720">
        <v>27.12</v>
      </c>
      <c r="H13" s="720">
        <v>140.82</v>
      </c>
      <c r="I13" s="468">
        <v>43.54</v>
      </c>
      <c r="J13" s="627">
        <v>278.99</v>
      </c>
      <c r="K13" s="467"/>
      <c r="L13" s="467"/>
      <c r="M13" s="202"/>
      <c r="N13" s="251">
        <f t="shared" si="0"/>
        <v>1448.89</v>
      </c>
    </row>
    <row r="14" spans="1:14" ht="14.25">
      <c r="A14" s="585" t="s">
        <v>127</v>
      </c>
      <c r="B14" s="720">
        <v>5.6</v>
      </c>
      <c r="C14" s="720">
        <v>29.03</v>
      </c>
      <c r="D14" s="720">
        <v>115.67</v>
      </c>
      <c r="E14" s="720">
        <v>400.53</v>
      </c>
      <c r="F14" s="720">
        <v>8.3699999999999992</v>
      </c>
      <c r="G14" s="720">
        <v>37.85</v>
      </c>
      <c r="H14" s="720">
        <v>26.42</v>
      </c>
      <c r="I14" s="468">
        <v>240.85999999999999</v>
      </c>
      <c r="J14" s="627">
        <v>94.93</v>
      </c>
      <c r="K14" s="467"/>
      <c r="L14" s="467"/>
      <c r="M14" s="202"/>
      <c r="N14" s="251">
        <f t="shared" si="0"/>
        <v>959.26</v>
      </c>
    </row>
    <row r="15" spans="1:14" ht="14.25">
      <c r="A15" s="585" t="s">
        <v>346</v>
      </c>
      <c r="B15" s="720">
        <v>80.350000000000009</v>
      </c>
      <c r="C15" s="720">
        <v>131.26</v>
      </c>
      <c r="D15" s="720">
        <v>24.62</v>
      </c>
      <c r="E15" s="720">
        <v>215.9</v>
      </c>
      <c r="F15" s="720">
        <v>94.3</v>
      </c>
      <c r="G15" s="720">
        <v>34.799999999999997</v>
      </c>
      <c r="H15" s="720">
        <v>37.14</v>
      </c>
      <c r="I15" s="468">
        <v>125.52</v>
      </c>
      <c r="J15" s="627">
        <v>28.35</v>
      </c>
      <c r="K15" s="467"/>
      <c r="L15" s="467"/>
      <c r="M15" s="202"/>
      <c r="N15" s="251">
        <f t="shared" si="0"/>
        <v>772.2399999999999</v>
      </c>
    </row>
    <row r="16" spans="1:14" ht="14.25">
      <c r="A16" s="685" t="s">
        <v>347</v>
      </c>
      <c r="B16" s="526">
        <v>743.89</v>
      </c>
      <c r="C16" s="527">
        <v>416.80999999999995</v>
      </c>
      <c r="D16" s="468">
        <v>241.46</v>
      </c>
      <c r="E16" s="468">
        <v>340.12</v>
      </c>
      <c r="F16" s="627">
        <v>187.37999999999997</v>
      </c>
      <c r="G16" s="527">
        <v>257.36</v>
      </c>
      <c r="H16" s="527">
        <v>298.20999999999998</v>
      </c>
      <c r="I16" s="468">
        <v>197.27000000000004</v>
      </c>
      <c r="J16" s="627">
        <v>772</v>
      </c>
      <c r="K16" s="467"/>
      <c r="L16" s="467"/>
      <c r="M16" s="202"/>
      <c r="N16" s="251">
        <f t="shared" si="0"/>
        <v>3454.4999999999995</v>
      </c>
    </row>
    <row r="17" spans="1:14" ht="14.25">
      <c r="A17" s="676"/>
      <c r="B17" s="524"/>
      <c r="C17" s="525"/>
      <c r="D17" s="621"/>
      <c r="E17" s="621"/>
      <c r="F17" s="672"/>
      <c r="G17" s="673"/>
      <c r="H17" s="673"/>
      <c r="I17" s="673"/>
      <c r="J17" s="673"/>
      <c r="K17" s="673"/>
      <c r="L17" s="673"/>
      <c r="M17" s="674"/>
      <c r="N17" s="675"/>
    </row>
    <row r="18" spans="1:14" ht="14.25">
      <c r="A18" s="585"/>
      <c r="B18" s="526"/>
      <c r="C18" s="527"/>
      <c r="D18" s="468"/>
      <c r="E18" s="468"/>
      <c r="F18" s="627"/>
      <c r="G18" s="467"/>
      <c r="H18" s="467"/>
      <c r="I18" s="467"/>
      <c r="J18" s="467"/>
      <c r="K18" s="467"/>
      <c r="L18" s="467"/>
      <c r="M18" s="202"/>
      <c r="N18" s="251"/>
    </row>
    <row r="19" spans="1:14" ht="15">
      <c r="A19" s="586" t="s">
        <v>348</v>
      </c>
      <c r="B19" s="526"/>
      <c r="C19" s="527"/>
      <c r="D19" s="468"/>
      <c r="E19" s="468"/>
      <c r="F19" s="627"/>
      <c r="G19" s="467"/>
      <c r="H19" s="467"/>
      <c r="I19" s="467"/>
      <c r="J19" s="467"/>
      <c r="K19" s="467"/>
      <c r="L19" s="467"/>
      <c r="M19" s="202"/>
      <c r="N19" s="251"/>
    </row>
    <row r="20" spans="1:14" ht="14.25">
      <c r="A20" s="585" t="s">
        <v>75</v>
      </c>
      <c r="B20" s="365">
        <v>24653.56</v>
      </c>
      <c r="C20" s="365">
        <v>4830.7900000000009</v>
      </c>
      <c r="D20" s="365">
        <v>23716.17</v>
      </c>
      <c r="E20" s="365">
        <v>242.72000000000003</v>
      </c>
      <c r="F20" s="365">
        <v>100.95</v>
      </c>
      <c r="G20" s="365">
        <v>78.570000000000007</v>
      </c>
      <c r="H20" s="365">
        <v>26191.989999999998</v>
      </c>
      <c r="I20" s="365">
        <v>94.67</v>
      </c>
      <c r="J20" s="627">
        <v>34737.229999999996</v>
      </c>
      <c r="K20" s="467"/>
      <c r="L20" s="467"/>
      <c r="M20" s="202"/>
      <c r="N20" s="251">
        <f t="shared" si="0"/>
        <v>114646.65</v>
      </c>
    </row>
    <row r="21" spans="1:14" ht="14.25">
      <c r="A21" s="585" t="s">
        <v>71</v>
      </c>
      <c r="B21" s="365">
        <v>306.11</v>
      </c>
      <c r="C21" s="365">
        <v>794.42</v>
      </c>
      <c r="D21" s="365">
        <v>2304.56</v>
      </c>
      <c r="E21" s="365">
        <v>1006.17</v>
      </c>
      <c r="F21" s="365">
        <v>6109.99</v>
      </c>
      <c r="G21" s="365">
        <v>1473.4</v>
      </c>
      <c r="H21" s="365">
        <v>1159.03</v>
      </c>
      <c r="I21" s="365">
        <v>12124.23</v>
      </c>
      <c r="J21" s="627">
        <v>3432.83</v>
      </c>
      <c r="K21" s="467"/>
      <c r="L21" s="467"/>
      <c r="M21" s="202"/>
      <c r="N21" s="251">
        <f t="shared" si="0"/>
        <v>28710.739999999998</v>
      </c>
    </row>
    <row r="22" spans="1:14" ht="14.25">
      <c r="A22" s="585" t="s">
        <v>76</v>
      </c>
      <c r="B22" s="365">
        <v>2247.61</v>
      </c>
      <c r="C22" s="365">
        <v>2927.13</v>
      </c>
      <c r="D22" s="365">
        <v>2313.17</v>
      </c>
      <c r="E22" s="365">
        <v>2425.6799999999998</v>
      </c>
      <c r="F22" s="365">
        <v>2010.5</v>
      </c>
      <c r="G22" s="365">
        <v>2737.0499999999993</v>
      </c>
      <c r="H22" s="365">
        <v>2630.5899999999997</v>
      </c>
      <c r="I22" s="365">
        <v>2798.7200000000003</v>
      </c>
      <c r="J22" s="627">
        <v>3170.41</v>
      </c>
      <c r="K22" s="467"/>
      <c r="L22" s="467"/>
      <c r="M22" s="202"/>
      <c r="N22" s="251">
        <f t="shared" si="0"/>
        <v>23260.86</v>
      </c>
    </row>
    <row r="23" spans="1:14" ht="14.25">
      <c r="A23" s="585" t="s">
        <v>73</v>
      </c>
      <c r="B23" s="365">
        <v>119.96</v>
      </c>
      <c r="C23" s="365">
        <v>651.06000000000006</v>
      </c>
      <c r="D23" s="365">
        <v>224.18999999999997</v>
      </c>
      <c r="E23" s="365">
        <v>11278.67</v>
      </c>
      <c r="F23" s="365">
        <v>153.19</v>
      </c>
      <c r="G23" s="365">
        <v>120.69</v>
      </c>
      <c r="H23" s="365">
        <v>66.759999999999991</v>
      </c>
      <c r="I23" s="365">
        <v>336.96999999999997</v>
      </c>
      <c r="J23" s="627">
        <v>146.01000000000002</v>
      </c>
      <c r="K23" s="467"/>
      <c r="L23" s="467"/>
      <c r="M23" s="202"/>
      <c r="N23" s="251">
        <f t="shared" si="0"/>
        <v>13097.500000000002</v>
      </c>
    </row>
    <row r="24" spans="1:14" ht="14.25">
      <c r="A24" s="585" t="s">
        <v>349</v>
      </c>
      <c r="B24" s="365">
        <v>657.52</v>
      </c>
      <c r="C24" s="365">
        <v>903.66</v>
      </c>
      <c r="D24" s="365">
        <v>1064.2800000000002</v>
      </c>
      <c r="E24" s="365">
        <v>959.13</v>
      </c>
      <c r="F24" s="365">
        <v>543.9799999999999</v>
      </c>
      <c r="G24" s="365">
        <v>440.32999999999993</v>
      </c>
      <c r="H24" s="365">
        <v>780.44999999999993</v>
      </c>
      <c r="I24" s="365">
        <v>1101.3499999999999</v>
      </c>
      <c r="J24" s="627">
        <v>803.6099999999999</v>
      </c>
      <c r="K24" s="467"/>
      <c r="L24" s="467"/>
      <c r="M24" s="202"/>
      <c r="N24" s="251">
        <f t="shared" si="0"/>
        <v>7254.3099999999986</v>
      </c>
    </row>
    <row r="25" spans="1:14" ht="14.25">
      <c r="A25" s="585" t="s">
        <v>350</v>
      </c>
      <c r="B25" s="365">
        <v>741.65</v>
      </c>
      <c r="C25" s="365">
        <v>307.73</v>
      </c>
      <c r="D25" s="365">
        <v>357.77</v>
      </c>
      <c r="E25" s="365">
        <v>138.49</v>
      </c>
      <c r="F25" s="365">
        <v>195.96</v>
      </c>
      <c r="G25" s="365">
        <v>117.87</v>
      </c>
      <c r="H25" s="365">
        <v>0</v>
      </c>
      <c r="I25" s="365">
        <v>3242.1</v>
      </c>
      <c r="J25" s="627">
        <v>406.09</v>
      </c>
      <c r="K25" s="467"/>
      <c r="L25" s="467"/>
      <c r="M25" s="202"/>
      <c r="N25" s="251">
        <f t="shared" si="0"/>
        <v>5507.66</v>
      </c>
    </row>
    <row r="26" spans="1:14" ht="14.25">
      <c r="A26" s="585" t="s">
        <v>351</v>
      </c>
      <c r="B26" s="365">
        <v>0</v>
      </c>
      <c r="C26" s="365">
        <v>0</v>
      </c>
      <c r="D26" s="365">
        <v>0</v>
      </c>
      <c r="E26" s="365">
        <v>1020</v>
      </c>
      <c r="F26" s="365">
        <v>822.4</v>
      </c>
      <c r="G26" s="365">
        <v>1028</v>
      </c>
      <c r="H26" s="365">
        <v>1106.4000000000001</v>
      </c>
      <c r="I26" s="365">
        <v>512.4</v>
      </c>
      <c r="J26" s="627">
        <v>480</v>
      </c>
      <c r="K26" s="467"/>
      <c r="L26" s="467"/>
      <c r="M26" s="202"/>
      <c r="N26" s="251">
        <f t="shared" si="0"/>
        <v>4969.2</v>
      </c>
    </row>
    <row r="27" spans="1:14" ht="14.25">
      <c r="A27" s="585" t="s">
        <v>68</v>
      </c>
      <c r="B27" s="365">
        <v>496.34000000000009</v>
      </c>
      <c r="C27" s="365">
        <v>266.45999999999998</v>
      </c>
      <c r="D27" s="365">
        <v>754.93000000000006</v>
      </c>
      <c r="E27" s="365">
        <v>657.5200000000001</v>
      </c>
      <c r="F27" s="365">
        <v>1091.6399999999999</v>
      </c>
      <c r="G27" s="365">
        <v>222.31999999999996</v>
      </c>
      <c r="H27" s="365">
        <v>614.86999999999978</v>
      </c>
      <c r="I27" s="365">
        <v>191.15999999999997</v>
      </c>
      <c r="J27" s="627">
        <v>2174.7500000000005</v>
      </c>
      <c r="K27" s="467"/>
      <c r="L27" s="467"/>
      <c r="M27" s="202"/>
      <c r="N27" s="251">
        <f t="shared" si="0"/>
        <v>6469.99</v>
      </c>
    </row>
    <row r="28" spans="1:14" ht="14.25">
      <c r="A28" s="585" t="s">
        <v>352</v>
      </c>
      <c r="B28" s="365">
        <v>1251.5</v>
      </c>
      <c r="C28" s="365">
        <v>0</v>
      </c>
      <c r="D28" s="365">
        <v>715</v>
      </c>
      <c r="E28" s="365">
        <v>0.03</v>
      </c>
      <c r="F28" s="365">
        <v>1.5</v>
      </c>
      <c r="G28" s="365">
        <v>626.66999999999996</v>
      </c>
      <c r="H28" s="365">
        <v>0</v>
      </c>
      <c r="I28" s="365">
        <v>762.87</v>
      </c>
      <c r="J28" s="627">
        <v>0</v>
      </c>
      <c r="K28" s="467"/>
      <c r="L28" s="467"/>
      <c r="M28" s="202"/>
      <c r="N28" s="251">
        <f t="shared" si="0"/>
        <v>3357.5699999999997</v>
      </c>
    </row>
    <row r="29" spans="1:14" ht="14.25">
      <c r="A29" s="585" t="s">
        <v>353</v>
      </c>
      <c r="B29" s="365">
        <v>68.47</v>
      </c>
      <c r="C29" s="365">
        <v>395.73999999999995</v>
      </c>
      <c r="D29" s="365">
        <v>103.55</v>
      </c>
      <c r="E29" s="365">
        <v>378.63</v>
      </c>
      <c r="F29" s="365">
        <v>151.4</v>
      </c>
      <c r="G29" s="365">
        <v>532.45999999999992</v>
      </c>
      <c r="H29" s="365">
        <v>909.38999999999987</v>
      </c>
      <c r="I29" s="365">
        <v>143.75000000000003</v>
      </c>
      <c r="J29" s="627">
        <v>1217.22</v>
      </c>
      <c r="K29" s="467"/>
      <c r="L29" s="467"/>
      <c r="M29" s="202"/>
      <c r="N29" s="251">
        <f t="shared" si="0"/>
        <v>3900.6099999999997</v>
      </c>
    </row>
    <row r="30" spans="1:14" ht="14.25">
      <c r="A30" s="585" t="s">
        <v>354</v>
      </c>
      <c r="B30" s="526">
        <v>1006.43</v>
      </c>
      <c r="C30" s="527">
        <v>717.42000000000019</v>
      </c>
      <c r="D30" s="468">
        <v>1336.57</v>
      </c>
      <c r="E30" s="468">
        <v>373.12999999999994</v>
      </c>
      <c r="F30" s="627">
        <v>521.9799999999999</v>
      </c>
      <c r="G30" s="468">
        <v>1071.5199999999998</v>
      </c>
      <c r="H30" s="527">
        <v>1465.8999999999999</v>
      </c>
      <c r="I30" s="738">
        <v>1266.96</v>
      </c>
      <c r="J30" s="365">
        <v>1093.8499999999985</v>
      </c>
      <c r="K30" s="467"/>
      <c r="L30" s="467"/>
      <c r="M30" s="202"/>
      <c r="N30" s="251">
        <f t="shared" si="0"/>
        <v>8853.7599999999984</v>
      </c>
    </row>
    <row r="31" spans="1:14" ht="14.25">
      <c r="A31" s="585"/>
      <c r="B31" s="526"/>
      <c r="C31" s="527"/>
      <c r="D31" s="467"/>
      <c r="E31" s="469"/>
      <c r="F31" s="467"/>
      <c r="G31" s="467"/>
      <c r="H31" s="467"/>
      <c r="I31" s="467"/>
      <c r="J31" s="467"/>
      <c r="K31" s="467"/>
      <c r="L31" s="467"/>
      <c r="M31" s="202"/>
      <c r="N31" s="251"/>
    </row>
    <row r="32" spans="1:14" ht="14.25">
      <c r="A32" s="456" t="s">
        <v>40</v>
      </c>
      <c r="B32" s="468">
        <f t="shared" ref="B32:J32" si="1">SUM(B20:B30)</f>
        <v>31549.150000000005</v>
      </c>
      <c r="C32" s="468">
        <f t="shared" si="1"/>
        <v>11794.409999999998</v>
      </c>
      <c r="D32" s="468">
        <f t="shared" si="1"/>
        <v>32890.19</v>
      </c>
      <c r="E32" s="468">
        <f t="shared" si="1"/>
        <v>18480.170000000002</v>
      </c>
      <c r="F32" s="468">
        <f t="shared" si="1"/>
        <v>11703.489999999996</v>
      </c>
      <c r="G32" s="468">
        <f t="shared" si="1"/>
        <v>8448.8799999999992</v>
      </c>
      <c r="H32" s="468">
        <f t="shared" si="1"/>
        <v>34925.379999999997</v>
      </c>
      <c r="I32" s="468">
        <f t="shared" si="1"/>
        <v>22575.179999999997</v>
      </c>
      <c r="J32" s="468">
        <f t="shared" si="1"/>
        <v>47662</v>
      </c>
      <c r="K32" s="468">
        <v>15215</v>
      </c>
      <c r="L32" s="469"/>
      <c r="M32" s="469"/>
      <c r="N32" s="455">
        <f>SUM(B32:M32)</f>
        <v>235243.84999999998</v>
      </c>
    </row>
    <row r="33" spans="1:14" ht="14.25">
      <c r="A33" s="453" t="s">
        <v>355</v>
      </c>
      <c r="B33" s="457">
        <f t="shared" ref="B33:K33" si="2">B32*1.07</f>
        <v>33757.590500000006</v>
      </c>
      <c r="C33" s="366">
        <f t="shared" si="2"/>
        <v>12620.018699999999</v>
      </c>
      <c r="D33" s="366">
        <f t="shared" si="2"/>
        <v>35192.503300000004</v>
      </c>
      <c r="E33" s="366">
        <f t="shared" si="2"/>
        <v>19773.781900000002</v>
      </c>
      <c r="F33" s="366">
        <f t="shared" si="2"/>
        <v>12522.734299999996</v>
      </c>
      <c r="G33" s="366">
        <f t="shared" si="2"/>
        <v>9040.3015999999989</v>
      </c>
      <c r="H33" s="366">
        <f t="shared" si="2"/>
        <v>37370.156600000002</v>
      </c>
      <c r="I33" s="366">
        <f t="shared" si="2"/>
        <v>24155.442599999998</v>
      </c>
      <c r="J33" s="366">
        <f t="shared" si="2"/>
        <v>50998.340000000004</v>
      </c>
      <c r="K33" s="366">
        <f t="shared" si="2"/>
        <v>16280.050000000001</v>
      </c>
      <c r="L33" s="458"/>
      <c r="M33" s="459"/>
      <c r="N33" s="454">
        <f>SUM(B33:M33)</f>
        <v>251710.91949999999</v>
      </c>
    </row>
    <row r="34" spans="1:14" ht="14.25">
      <c r="A34" s="470"/>
      <c r="B34" s="446"/>
      <c r="C34" s="446"/>
      <c r="D34" s="446"/>
      <c r="E34" s="446"/>
      <c r="F34" s="446"/>
      <c r="G34" s="448"/>
      <c r="H34" s="448"/>
      <c r="I34" s="448"/>
      <c r="J34" s="448"/>
      <c r="K34" s="169"/>
      <c r="L34" s="169"/>
      <c r="M34" s="169"/>
      <c r="N34" s="284"/>
    </row>
    <row r="35" spans="1:14" ht="14.25">
      <c r="A35" s="32" t="s">
        <v>356</v>
      </c>
      <c r="B35" s="32"/>
      <c r="C35" s="32"/>
      <c r="D35" s="32"/>
      <c r="E35" s="32"/>
      <c r="F35" s="32"/>
      <c r="G35" s="471"/>
      <c r="H35" s="32"/>
      <c r="I35" s="32"/>
      <c r="J35" s="32"/>
      <c r="K35" s="32"/>
      <c r="L35" s="32"/>
      <c r="M35" s="32"/>
      <c r="N35" s="32"/>
    </row>
    <row r="36" spans="1:14" ht="13.9" customHeight="1">
      <c r="A36" s="876" t="s">
        <v>357</v>
      </c>
      <c r="B36" s="876"/>
      <c r="C36" s="876"/>
      <c r="D36" s="876"/>
      <c r="E36" s="876"/>
      <c r="F36" s="876"/>
      <c r="G36" s="876"/>
      <c r="H36" s="876"/>
      <c r="I36" s="876"/>
      <c r="J36" s="876"/>
      <c r="K36" s="876"/>
      <c r="L36" s="876"/>
      <c r="M36" s="876"/>
      <c r="N36" s="876"/>
    </row>
    <row r="37" spans="1:14" ht="13.9" customHeight="1">
      <c r="A37" s="876"/>
      <c r="B37" s="876"/>
      <c r="C37" s="876"/>
      <c r="D37" s="876"/>
      <c r="E37" s="876"/>
      <c r="F37" s="876"/>
      <c r="G37" s="876"/>
      <c r="H37" s="876"/>
      <c r="I37" s="876"/>
      <c r="J37" s="876"/>
      <c r="K37" s="876"/>
      <c r="L37" s="876"/>
      <c r="M37" s="876"/>
      <c r="N37" s="876"/>
    </row>
    <row r="38" spans="1:14" ht="13.9" customHeight="1">
      <c r="A38" s="876" t="s">
        <v>358</v>
      </c>
      <c r="B38" s="876"/>
      <c r="C38" s="876"/>
      <c r="D38" s="876"/>
      <c r="E38" s="876"/>
      <c r="F38" s="876"/>
      <c r="G38" s="876"/>
      <c r="H38" s="682"/>
      <c r="I38" s="682"/>
      <c r="J38" s="32"/>
      <c r="K38" s="32"/>
      <c r="L38" s="32"/>
      <c r="M38" s="32"/>
      <c r="N38" s="472"/>
    </row>
    <row r="39" spans="1:14" ht="15" customHeight="1">
      <c r="A39" s="876" t="s">
        <v>83</v>
      </c>
      <c r="B39" s="876"/>
      <c r="C39" s="876"/>
      <c r="D39" s="876"/>
      <c r="E39" s="32"/>
      <c r="F39" s="32"/>
      <c r="G39" s="682"/>
      <c r="H39" s="682"/>
      <c r="I39" s="682"/>
      <c r="J39" s="32"/>
      <c r="K39" s="32"/>
      <c r="L39" s="32"/>
      <c r="M39" s="32"/>
      <c r="N39" s="472"/>
    </row>
    <row r="40" spans="1:14">
      <c r="G40" s="40"/>
      <c r="H40" s="682"/>
      <c r="I40" s="682"/>
      <c r="J40" s="729"/>
      <c r="K40" s="40"/>
    </row>
    <row r="41" spans="1:14">
      <c r="K41" s="682"/>
      <c r="L41" s="682"/>
      <c r="M41" s="3"/>
    </row>
  </sheetData>
  <mergeCells count="5">
    <mergeCell ref="A1:N1"/>
    <mergeCell ref="B3:M3"/>
    <mergeCell ref="A36:N37"/>
    <mergeCell ref="A38:G38"/>
    <mergeCell ref="A39:D39"/>
  </mergeCells>
  <printOptions horizontalCentered="1" verticalCentered="1"/>
  <pageMargins left="0.25" right="0.25" top="0.5" bottom="0.5" header="0.3" footer="0.3"/>
  <pageSetup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S200"/>
  <sheetViews>
    <sheetView showGridLines="0" zoomScaleNormal="100" workbookViewId="0">
      <selection activeCell="J32" sqref="J32"/>
    </sheetView>
  </sheetViews>
  <sheetFormatPr defaultRowHeight="12.75"/>
  <cols>
    <col min="1" max="1" width="17.7109375" customWidth="1"/>
    <col min="2" max="2" width="9.7109375" customWidth="1"/>
    <col min="3" max="4" width="10.7109375" customWidth="1"/>
    <col min="5" max="11" width="9.7109375" customWidth="1"/>
    <col min="12" max="13" width="10.140625" customWidth="1"/>
    <col min="14" max="14" width="11.7109375" customWidth="1"/>
    <col min="15" max="15" width="10.28515625" customWidth="1"/>
    <col min="16" max="16" width="10.85546875" customWidth="1"/>
    <col min="17" max="17" width="9" customWidth="1"/>
    <col min="18" max="18" width="8.5703125" customWidth="1"/>
  </cols>
  <sheetData>
    <row r="1" spans="1:19" s="19" customFormat="1" ht="21.6" customHeight="1">
      <c r="A1" s="166" t="s">
        <v>359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s="201" customFormat="1" ht="19.149999999999999" customHeight="1">
      <c r="A2" s="262"/>
      <c r="B2" s="73" t="s">
        <v>86</v>
      </c>
      <c r="C2" s="73" t="s">
        <v>87</v>
      </c>
      <c r="D2" s="73" t="s">
        <v>88</v>
      </c>
      <c r="E2" s="137" t="s">
        <v>89</v>
      </c>
      <c r="F2" s="73" t="s">
        <v>90</v>
      </c>
      <c r="G2" s="73" t="s">
        <v>91</v>
      </c>
      <c r="H2" s="73" t="s">
        <v>92</v>
      </c>
      <c r="I2" s="73" t="s">
        <v>93</v>
      </c>
      <c r="J2" s="137" t="s">
        <v>94</v>
      </c>
      <c r="K2" s="73" t="s">
        <v>95</v>
      </c>
      <c r="L2" s="73" t="s">
        <v>58</v>
      </c>
      <c r="M2" s="74" t="s">
        <v>59</v>
      </c>
      <c r="N2" s="883" t="s">
        <v>164</v>
      </c>
      <c r="O2" s="884"/>
      <c r="P2" s="885"/>
    </row>
    <row r="3" spans="1:19" s="263" customFormat="1" ht="27.6" customHeight="1">
      <c r="A3" s="333"/>
      <c r="B3" s="451">
        <v>44501</v>
      </c>
      <c r="C3" s="451">
        <v>44529</v>
      </c>
      <c r="D3" s="451">
        <v>44561</v>
      </c>
      <c r="E3" s="451">
        <v>44592</v>
      </c>
      <c r="F3" s="451">
        <v>44620</v>
      </c>
      <c r="G3" s="451">
        <v>44655</v>
      </c>
      <c r="H3" s="451">
        <v>44683</v>
      </c>
      <c r="I3" s="451">
        <v>44711</v>
      </c>
      <c r="J3" s="451">
        <v>44747</v>
      </c>
      <c r="K3" s="451">
        <v>44774</v>
      </c>
      <c r="L3" s="451">
        <v>44802</v>
      </c>
      <c r="M3" s="451">
        <v>44834</v>
      </c>
      <c r="N3" s="334" t="s">
        <v>165</v>
      </c>
      <c r="O3" s="780" t="s">
        <v>166</v>
      </c>
      <c r="P3" s="514" t="s">
        <v>167</v>
      </c>
    </row>
    <row r="4" spans="1:19" ht="12.6" customHeight="1">
      <c r="A4" s="335"/>
      <c r="B4" s="336"/>
      <c r="C4" s="337"/>
      <c r="D4" s="337"/>
      <c r="E4" s="337"/>
      <c r="F4" s="338"/>
      <c r="G4" s="339"/>
      <c r="H4" s="339"/>
      <c r="I4" s="98"/>
      <c r="J4" s="98"/>
      <c r="K4" s="98"/>
      <c r="L4" s="98"/>
      <c r="M4" s="340"/>
      <c r="N4" s="341"/>
      <c r="O4" s="342"/>
      <c r="P4" s="120"/>
      <c r="Q4" s="200"/>
      <c r="R4" s="200"/>
      <c r="S4" s="200"/>
    </row>
    <row r="5" spans="1:19" ht="15.6" customHeight="1">
      <c r="A5" s="120"/>
      <c r="B5" s="880" t="s">
        <v>360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2"/>
      <c r="N5" s="343"/>
      <c r="O5" s="344"/>
      <c r="P5" s="343"/>
      <c r="Q5" s="200"/>
      <c r="R5" s="200"/>
      <c r="S5" s="200"/>
    </row>
    <row r="6" spans="1:19" ht="12.6" customHeight="1">
      <c r="A6" s="120"/>
      <c r="B6" s="242"/>
      <c r="C6" s="98"/>
      <c r="D6" s="98"/>
      <c r="E6" s="98"/>
      <c r="F6" s="345"/>
      <c r="G6" s="339"/>
      <c r="H6" s="339"/>
      <c r="I6" s="98"/>
      <c r="J6" s="98"/>
      <c r="K6" s="98"/>
      <c r="L6" s="98"/>
      <c r="M6" s="340"/>
      <c r="N6" s="120"/>
      <c r="O6" s="340"/>
      <c r="P6" s="120"/>
      <c r="Q6" s="200"/>
      <c r="R6" s="200"/>
      <c r="S6" s="200"/>
    </row>
    <row r="7" spans="1:19" ht="17.45" customHeight="1">
      <c r="A7" s="120" t="s">
        <v>169</v>
      </c>
      <c r="B7" s="350">
        <v>1366</v>
      </c>
      <c r="C7" s="351">
        <v>1956</v>
      </c>
      <c r="D7" s="352">
        <v>2917</v>
      </c>
      <c r="E7" s="352">
        <v>2837</v>
      </c>
      <c r="F7" s="352">
        <v>4683</v>
      </c>
      <c r="G7" s="352">
        <v>6721</v>
      </c>
      <c r="H7" s="352">
        <v>5750</v>
      </c>
      <c r="I7" s="352">
        <v>4430</v>
      </c>
      <c r="J7" s="352">
        <v>2337</v>
      </c>
      <c r="K7" s="352">
        <f>N7-SUM(B7:J7)</f>
        <v>4508</v>
      </c>
      <c r="L7" s="352"/>
      <c r="M7" s="346"/>
      <c r="N7" s="327">
        <v>37505</v>
      </c>
      <c r="O7" s="328">
        <v>59250</v>
      </c>
      <c r="P7" s="329">
        <f>N7/O7</f>
        <v>0.63299578059071726</v>
      </c>
      <c r="Q7" s="200"/>
      <c r="R7" s="40"/>
      <c r="S7" s="40"/>
    </row>
    <row r="8" spans="1:19" ht="17.45" customHeight="1">
      <c r="A8" s="121" t="s">
        <v>361</v>
      </c>
      <c r="B8" s="350">
        <v>966</v>
      </c>
      <c r="C8" s="351">
        <v>1336</v>
      </c>
      <c r="D8" s="352">
        <v>1912</v>
      </c>
      <c r="E8" s="352">
        <v>1245</v>
      </c>
      <c r="F8" s="352">
        <v>0</v>
      </c>
      <c r="G8" s="352">
        <v>0</v>
      </c>
      <c r="H8" s="352">
        <v>0</v>
      </c>
      <c r="I8" s="352">
        <v>0</v>
      </c>
      <c r="J8" s="352">
        <v>0</v>
      </c>
      <c r="K8" s="353">
        <v>0</v>
      </c>
      <c r="L8" s="354"/>
      <c r="M8" s="346"/>
      <c r="N8" s="327">
        <v>5459</v>
      </c>
      <c r="O8" s="328">
        <v>5459</v>
      </c>
      <c r="P8" s="329">
        <f>N8/O8</f>
        <v>1</v>
      </c>
      <c r="Q8" s="200"/>
      <c r="R8" s="40"/>
      <c r="S8" s="40"/>
    </row>
    <row r="9" spans="1:19" ht="10.15" customHeight="1">
      <c r="A9" s="139"/>
      <c r="B9" s="355"/>
      <c r="C9" s="353"/>
      <c r="D9" s="353"/>
      <c r="E9" s="356"/>
      <c r="F9" s="356"/>
      <c r="G9" s="356"/>
      <c r="H9" s="356"/>
      <c r="I9" s="356"/>
      <c r="J9" s="353"/>
      <c r="K9" s="353"/>
      <c r="L9" s="357"/>
      <c r="M9" s="347"/>
      <c r="N9" s="330"/>
      <c r="O9" s="331"/>
      <c r="P9" s="329"/>
      <c r="Q9" s="200"/>
      <c r="R9" s="40"/>
      <c r="S9" s="40"/>
    </row>
    <row r="10" spans="1:19" ht="15.6" customHeight="1">
      <c r="A10" s="781" t="s">
        <v>40</v>
      </c>
      <c r="B10" s="782">
        <f t="shared" ref="B10:K10" si="0">SUM(B7:B8)</f>
        <v>2332</v>
      </c>
      <c r="C10" s="518">
        <f t="shared" si="0"/>
        <v>3292</v>
      </c>
      <c r="D10" s="518">
        <f t="shared" si="0"/>
        <v>4829</v>
      </c>
      <c r="E10" s="518">
        <f t="shared" si="0"/>
        <v>4082</v>
      </c>
      <c r="F10" s="518">
        <f t="shared" si="0"/>
        <v>4683</v>
      </c>
      <c r="G10" s="518">
        <f t="shared" si="0"/>
        <v>6721</v>
      </c>
      <c r="H10" s="518">
        <f t="shared" si="0"/>
        <v>5750</v>
      </c>
      <c r="I10" s="518">
        <f t="shared" si="0"/>
        <v>4430</v>
      </c>
      <c r="J10" s="518">
        <f t="shared" si="0"/>
        <v>2337</v>
      </c>
      <c r="K10" s="518">
        <f t="shared" si="0"/>
        <v>4508</v>
      </c>
      <c r="L10" s="518"/>
      <c r="M10" s="518"/>
      <c r="N10" s="332">
        <f>SUM(N7:N8)</f>
        <v>42964</v>
      </c>
      <c r="O10" s="783">
        <f>SUM(O7:O8)</f>
        <v>64709</v>
      </c>
      <c r="P10" s="784">
        <f>N10/O10</f>
        <v>0.66395710024880616</v>
      </c>
      <c r="Q10" s="200"/>
      <c r="R10" s="40"/>
      <c r="S10" s="40"/>
    </row>
    <row r="11" spans="1:19" ht="11.2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5"/>
      <c r="P11" s="32"/>
      <c r="Q11" s="200"/>
      <c r="R11" s="200"/>
      <c r="S11" s="200"/>
    </row>
    <row r="12" spans="1:19" s="39" customFormat="1" ht="15.6" customHeight="1">
      <c r="A12" s="57" t="s">
        <v>147</v>
      </c>
      <c r="B12" s="57"/>
      <c r="C12" s="57"/>
      <c r="D12" s="47"/>
      <c r="E12" s="47"/>
      <c r="F12" s="50"/>
      <c r="G12" s="32"/>
      <c r="H12" s="32"/>
      <c r="I12" s="32"/>
      <c r="J12" s="32"/>
      <c r="K12" s="32"/>
      <c r="L12" s="32"/>
      <c r="M12" s="32"/>
      <c r="N12" s="32"/>
      <c r="O12" s="32"/>
      <c r="P12" s="32"/>
      <c r="R12" s="56"/>
    </row>
    <row r="13" spans="1:19" s="39" customFormat="1" ht="15.6" customHeight="1">
      <c r="A13" s="108" t="s">
        <v>362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R13" s="56"/>
    </row>
    <row r="14" spans="1:19" s="39" customFormat="1" ht="18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R14" s="56"/>
    </row>
    <row r="15" spans="1:19" s="39" customFormat="1" ht="18" customHeight="1">
      <c r="A15" s="755" t="s">
        <v>363</v>
      </c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755"/>
      <c r="O15" s="755"/>
      <c r="P15" s="755"/>
      <c r="R15" s="56"/>
    </row>
    <row r="16" spans="1:19" s="39" customFormat="1" ht="14.45" customHeight="1">
      <c r="A16" s="320"/>
      <c r="B16" s="317" t="s">
        <v>364</v>
      </c>
      <c r="C16" s="317" t="s">
        <v>365</v>
      </c>
      <c r="D16" s="317" t="s">
        <v>91</v>
      </c>
      <c r="E16" s="317" t="s">
        <v>92</v>
      </c>
      <c r="F16" s="317" t="s">
        <v>93</v>
      </c>
      <c r="G16" s="317" t="s">
        <v>94</v>
      </c>
      <c r="H16" s="317" t="s">
        <v>95</v>
      </c>
      <c r="I16" s="317" t="s">
        <v>58</v>
      </c>
      <c r="J16" s="317" t="s">
        <v>59</v>
      </c>
      <c r="K16" s="317" t="s">
        <v>366</v>
      </c>
      <c r="L16" s="317" t="s">
        <v>367</v>
      </c>
      <c r="M16" s="318" t="s">
        <v>368</v>
      </c>
      <c r="N16" s="886" t="s">
        <v>369</v>
      </c>
      <c r="O16" s="887"/>
      <c r="P16" s="888"/>
      <c r="R16" s="56"/>
    </row>
    <row r="17" spans="1:18" s="39" customFormat="1" ht="26.45" customHeight="1">
      <c r="A17" s="316"/>
      <c r="B17" s="451">
        <v>44592</v>
      </c>
      <c r="C17" s="451">
        <v>44620</v>
      </c>
      <c r="D17" s="451">
        <v>44655</v>
      </c>
      <c r="E17" s="451">
        <v>44683</v>
      </c>
      <c r="F17" s="451">
        <v>44711</v>
      </c>
      <c r="G17" s="451">
        <v>44747</v>
      </c>
      <c r="H17" s="451">
        <v>44774</v>
      </c>
      <c r="I17" s="451">
        <v>44802</v>
      </c>
      <c r="J17" s="451">
        <v>44834</v>
      </c>
      <c r="K17" s="451">
        <v>44865</v>
      </c>
      <c r="L17" s="451">
        <v>44893</v>
      </c>
      <c r="M17" s="451">
        <v>44926</v>
      </c>
      <c r="N17" s="348" t="s">
        <v>165</v>
      </c>
      <c r="O17" s="205" t="s">
        <v>166</v>
      </c>
      <c r="P17" s="445" t="s">
        <v>167</v>
      </c>
      <c r="R17" s="56"/>
    </row>
    <row r="18" spans="1:18" s="39" customFormat="1" ht="18" customHeight="1">
      <c r="A18" s="315"/>
      <c r="B18" s="877" t="s">
        <v>360</v>
      </c>
      <c r="C18" s="878"/>
      <c r="D18" s="878"/>
      <c r="E18" s="878"/>
      <c r="F18" s="878"/>
      <c r="G18" s="878"/>
      <c r="H18" s="878"/>
      <c r="I18" s="878"/>
      <c r="J18" s="878"/>
      <c r="K18" s="878"/>
      <c r="L18" s="878"/>
      <c r="M18" s="879"/>
      <c r="N18" s="315"/>
      <c r="O18" s="315"/>
      <c r="P18" s="319"/>
      <c r="R18" s="56"/>
    </row>
    <row r="19" spans="1:18" s="39" customFormat="1" ht="18" customHeight="1">
      <c r="A19" s="120" t="s">
        <v>169</v>
      </c>
      <c r="B19" s="359">
        <v>437</v>
      </c>
      <c r="C19" s="446">
        <v>629</v>
      </c>
      <c r="D19" s="448">
        <v>1042</v>
      </c>
      <c r="E19" s="448">
        <v>984</v>
      </c>
      <c r="F19" s="448">
        <v>851</v>
      </c>
      <c r="G19" s="448">
        <v>1288</v>
      </c>
      <c r="H19" s="448">
        <f>N19-SUM(B19:G19)</f>
        <v>632</v>
      </c>
      <c r="I19" s="448"/>
      <c r="J19" s="448"/>
      <c r="K19" s="448"/>
      <c r="L19" s="448"/>
      <c r="M19" s="529"/>
      <c r="N19" s="324">
        <v>5863</v>
      </c>
      <c r="O19" s="324">
        <v>9600</v>
      </c>
      <c r="P19" s="321">
        <f>N19/O19</f>
        <v>0.61072916666666666</v>
      </c>
      <c r="R19" s="56"/>
    </row>
    <row r="20" spans="1:18" s="39" customFormat="1" ht="13.15" customHeight="1">
      <c r="A20" s="49"/>
      <c r="B20" s="359"/>
      <c r="C20" s="446"/>
      <c r="D20" s="449"/>
      <c r="E20" s="449"/>
      <c r="F20" s="447"/>
      <c r="G20" s="447"/>
      <c r="H20" s="447"/>
      <c r="I20" s="447"/>
      <c r="J20" s="447"/>
      <c r="K20" s="447"/>
      <c r="L20" s="447"/>
      <c r="M20" s="367"/>
      <c r="N20" s="323"/>
      <c r="O20" s="323"/>
      <c r="P20" s="325"/>
      <c r="R20" s="56"/>
    </row>
    <row r="21" spans="1:18" s="39" customFormat="1" ht="18" customHeight="1">
      <c r="A21" s="154" t="s">
        <v>40</v>
      </c>
      <c r="B21" s="360">
        <v>437</v>
      </c>
      <c r="C21" s="361">
        <v>629</v>
      </c>
      <c r="D21" s="366">
        <v>1042</v>
      </c>
      <c r="E21" s="366">
        <v>984</v>
      </c>
      <c r="F21" s="366">
        <v>851</v>
      </c>
      <c r="G21" s="366">
        <v>1288</v>
      </c>
      <c r="H21" s="349">
        <v>632</v>
      </c>
      <c r="I21" s="366"/>
      <c r="J21" s="349"/>
      <c r="K21" s="349"/>
      <c r="L21" s="349"/>
      <c r="M21" s="530"/>
      <c r="N21" s="358">
        <f>SUM(B21:M21)</f>
        <v>5863</v>
      </c>
      <c r="O21" s="326">
        <v>9600</v>
      </c>
      <c r="P21" s="322">
        <f>N21/O21</f>
        <v>0.61072916666666666</v>
      </c>
      <c r="R21" s="56"/>
    </row>
    <row r="22" spans="1:18" s="39" customFormat="1" ht="18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5"/>
      <c r="P22" s="32"/>
    </row>
    <row r="23" spans="1:18" s="169" customFormat="1" ht="16.899999999999999" customHeight="1">
      <c r="A23" s="32" t="s">
        <v>147</v>
      </c>
      <c r="B23" s="32"/>
      <c r="C23" s="32"/>
      <c r="D23" s="45"/>
      <c r="E23" s="45"/>
      <c r="F23" s="450"/>
      <c r="G23" s="32"/>
      <c r="H23" s="32"/>
      <c r="I23" s="32"/>
      <c r="J23" s="32"/>
      <c r="K23" s="32"/>
      <c r="L23" s="32"/>
      <c r="M23" s="32"/>
      <c r="N23" s="18"/>
      <c r="O23" s="365"/>
      <c r="P23" s="32"/>
    </row>
    <row r="24" spans="1:18" s="32" customFormat="1" ht="16.899999999999999" customHeight="1">
      <c r="A24" s="32" t="s">
        <v>370</v>
      </c>
      <c r="M24" s="45"/>
    </row>
    <row r="25" spans="1:18" s="32" customFormat="1" ht="16.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18" s="264" customFormat="1"/>
    <row r="27" spans="1:18" s="264" customFormat="1"/>
    <row r="28" spans="1:18" s="264" customFormat="1"/>
    <row r="29" spans="1:18" s="264" customFormat="1"/>
    <row r="30" spans="1:18" s="264" customFormat="1"/>
    <row r="31" spans="1:18" s="264" customFormat="1"/>
    <row r="32" spans="1:18" s="264" customFormat="1">
      <c r="B32" s="532"/>
    </row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  <row r="199" s="39" customFormat="1"/>
    <row r="200" s="39" customFormat="1"/>
  </sheetData>
  <mergeCells count="4">
    <mergeCell ref="B18:M18"/>
    <mergeCell ref="B5:M5"/>
    <mergeCell ref="N2:P2"/>
    <mergeCell ref="N16:P16"/>
  </mergeCells>
  <phoneticPr fontId="112" type="noConversion"/>
  <pageMargins left="0.5" right="0.17" top="1" bottom="0.17" header="0.17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T39"/>
  <sheetViews>
    <sheetView zoomScaleNormal="100" workbookViewId="0">
      <selection activeCell="A57" sqref="A57"/>
    </sheetView>
  </sheetViews>
  <sheetFormatPr defaultRowHeight="12.75"/>
  <cols>
    <col min="1" max="1" width="14.5703125" customWidth="1"/>
    <col min="2" max="2" width="27.42578125" customWidth="1"/>
    <col min="3" max="3" width="10.140625" customWidth="1"/>
    <col min="4" max="5" width="10.7109375" customWidth="1"/>
    <col min="6" max="6" width="9" customWidth="1"/>
    <col min="7" max="7" width="10" customWidth="1"/>
    <col min="8" max="8" width="9.28515625" customWidth="1"/>
    <col min="9" max="10" width="8.7109375" customWidth="1"/>
    <col min="11" max="11" width="8.85546875" customWidth="1"/>
    <col min="12" max="12" width="10.28515625" customWidth="1"/>
    <col min="13" max="13" width="8.7109375" customWidth="1"/>
    <col min="14" max="14" width="12.42578125" customWidth="1"/>
    <col min="15" max="15" width="10.85546875" customWidth="1"/>
    <col min="16" max="16" width="14.7109375" customWidth="1"/>
    <col min="17" max="17" width="13.140625" style="31" customWidth="1"/>
    <col min="18" max="18" width="9.42578125" style="200" customWidth="1"/>
    <col min="19" max="19" width="8.28515625" style="200" customWidth="1"/>
    <col min="20" max="20" width="9.140625" bestFit="1" customWidth="1"/>
  </cols>
  <sheetData>
    <row r="1" spans="1:20" s="19" customFormat="1" ht="21.6" customHeight="1">
      <c r="A1" s="753" t="s">
        <v>7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223"/>
      <c r="P1" s="167"/>
      <c r="Q1" s="167"/>
      <c r="R1" s="167"/>
      <c r="S1" s="167"/>
    </row>
    <row r="2" spans="1:20" s="20" customFormat="1" ht="45" customHeight="1">
      <c r="A2" s="267"/>
      <c r="B2" s="268"/>
      <c r="C2" s="797">
        <v>2021</v>
      </c>
      <c r="D2" s="798"/>
      <c r="E2" s="799"/>
      <c r="F2" s="798">
        <v>2022</v>
      </c>
      <c r="G2" s="798"/>
      <c r="H2" s="798"/>
      <c r="I2" s="798"/>
      <c r="J2" s="798"/>
      <c r="K2" s="798"/>
      <c r="L2" s="798"/>
      <c r="M2" s="798"/>
      <c r="N2" s="799"/>
      <c r="O2" s="68" t="s">
        <v>8</v>
      </c>
      <c r="P2" s="69" t="s">
        <v>9</v>
      </c>
      <c r="Q2" s="70" t="s">
        <v>10</v>
      </c>
      <c r="R2" s="378"/>
      <c r="S2" s="378"/>
    </row>
    <row r="3" spans="1:20" s="20" customFormat="1" ht="15.6" customHeight="1">
      <c r="A3" s="758"/>
      <c r="B3" s="759" t="s">
        <v>11</v>
      </c>
      <c r="C3" s="760" t="s">
        <v>12</v>
      </c>
      <c r="D3" s="673" t="s">
        <v>13</v>
      </c>
      <c r="E3" s="674" t="s">
        <v>14</v>
      </c>
      <c r="F3" s="673" t="s">
        <v>15</v>
      </c>
      <c r="G3" s="673" t="s">
        <v>16</v>
      </c>
      <c r="H3" s="673" t="s">
        <v>17</v>
      </c>
      <c r="I3" s="673" t="s">
        <v>18</v>
      </c>
      <c r="J3" s="673" t="s">
        <v>19</v>
      </c>
      <c r="K3" s="673" t="s">
        <v>20</v>
      </c>
      <c r="L3" s="673" t="s">
        <v>21</v>
      </c>
      <c r="M3" s="673" t="s">
        <v>22</v>
      </c>
      <c r="N3" s="145" t="s">
        <v>23</v>
      </c>
      <c r="O3" s="761"/>
      <c r="P3" s="762">
        <v>44785</v>
      </c>
      <c r="Q3" s="763"/>
      <c r="R3" s="377"/>
      <c r="S3" s="742"/>
      <c r="T3" s="725"/>
    </row>
    <row r="4" spans="1:20" ht="9.75" customHeight="1">
      <c r="A4" s="11"/>
      <c r="B4" s="22"/>
      <c r="C4" s="23"/>
      <c r="D4" s="24"/>
      <c r="E4" s="24"/>
      <c r="F4" s="24"/>
      <c r="G4" s="24"/>
      <c r="H4" s="25"/>
      <c r="I4" s="26"/>
      <c r="J4" s="26"/>
      <c r="K4" s="27"/>
      <c r="L4" s="26"/>
      <c r="M4" s="27"/>
      <c r="N4" s="28"/>
      <c r="O4" s="29"/>
      <c r="P4" s="30"/>
      <c r="Q4" s="33"/>
      <c r="R4" s="379"/>
      <c r="S4" s="743"/>
      <c r="T4" s="200"/>
    </row>
    <row r="5" spans="1:20" s="20" customFormat="1" ht="15.6" customHeight="1">
      <c r="A5" s="61"/>
      <c r="B5" s="62"/>
      <c r="C5" s="792" t="s">
        <v>24</v>
      </c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1"/>
      <c r="O5" s="802" t="s">
        <v>25</v>
      </c>
      <c r="P5" s="803"/>
      <c r="Q5" s="63" t="s">
        <v>26</v>
      </c>
      <c r="R5" s="380"/>
      <c r="S5" s="744"/>
    </row>
    <row r="6" spans="1:20" s="19" customFormat="1" ht="10.9" customHeight="1">
      <c r="A6" s="269"/>
      <c r="B6" s="270"/>
      <c r="C6" s="265"/>
      <c r="D6" s="266"/>
      <c r="E6" s="271"/>
      <c r="F6" s="266"/>
      <c r="G6" s="266"/>
      <c r="H6" s="272"/>
      <c r="I6" s="273"/>
      <c r="J6" s="273"/>
      <c r="K6" s="266"/>
      <c r="L6" s="273"/>
      <c r="M6" s="266"/>
      <c r="N6" s="266"/>
      <c r="O6" s="274"/>
      <c r="P6" s="275"/>
      <c r="Q6" s="276"/>
      <c r="R6" s="381"/>
      <c r="S6" s="745"/>
    </row>
    <row r="7" spans="1:20" s="19" customFormat="1" ht="16.149999999999999" customHeight="1">
      <c r="A7" s="790" t="s">
        <v>27</v>
      </c>
      <c r="B7" s="791"/>
      <c r="C7" s="277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9">
        <f>+O10+O9+O8</f>
        <v>1238185</v>
      </c>
      <c r="P7" s="280">
        <f>+P10+P9+P8</f>
        <v>1601837.7566537396</v>
      </c>
      <c r="Q7" s="281">
        <f>+O7/P7</f>
        <v>0.77297778433353015</v>
      </c>
      <c r="R7" s="382"/>
      <c r="S7" s="746"/>
      <c r="T7" s="724"/>
    </row>
    <row r="8" spans="1:20" s="19" customFormat="1" ht="16.149999999999999" customHeight="1">
      <c r="A8" s="269" t="s">
        <v>28</v>
      </c>
      <c r="B8" s="271" t="s">
        <v>29</v>
      </c>
      <c r="C8" s="277">
        <f>'Table 3A WTO Raw  '!$B$46+'Table 3A WTO Raw  '!E46</f>
        <v>282852</v>
      </c>
      <c r="D8" s="278">
        <f>+'Table 3A WTO Raw  '!F46+'Table 3A WTO Raw  '!C46</f>
        <v>123086</v>
      </c>
      <c r="E8" s="278">
        <f>'Table 3A WTO Raw  '!$G$46+'Table 3A WTO Raw  '!D46</f>
        <v>123066</v>
      </c>
      <c r="F8" s="278">
        <f>'Table 3A WTO Raw  '!$H$46</f>
        <v>10277</v>
      </c>
      <c r="G8" s="278">
        <f>'Table 3A WTO Raw  '!$I$46</f>
        <v>83663</v>
      </c>
      <c r="H8" s="278">
        <f>'Table 3A WTO Raw  '!$J$46</f>
        <v>28334</v>
      </c>
      <c r="I8" s="278">
        <f>'Table 3A WTO Raw  '!$K$46</f>
        <v>45898</v>
      </c>
      <c r="J8" s="278">
        <f>'Table 3A WTO Raw  '!$L$46</f>
        <v>52868</v>
      </c>
      <c r="K8" s="278">
        <f>'Table 3A WTO Raw  '!$M$46</f>
        <v>43241</v>
      </c>
      <c r="L8" s="278">
        <f>'Table 3A WTO Raw  '!$N$46</f>
        <v>44002</v>
      </c>
      <c r="M8" s="278"/>
      <c r="N8" s="278"/>
      <c r="O8" s="279">
        <f t="shared" ref="O8:O13" si="0">SUM(C8:N8)</f>
        <v>837287</v>
      </c>
      <c r="P8" s="280">
        <f>'Table 8A FY 2022 '!$D$11</f>
        <v>1171226</v>
      </c>
      <c r="Q8" s="281">
        <f t="shared" ref="Q8:Q14" si="1">+O8/P8</f>
        <v>0.71488081719497343</v>
      </c>
      <c r="R8" s="382"/>
      <c r="S8" s="746"/>
      <c r="T8" s="724"/>
    </row>
    <row r="9" spans="1:20" s="19" customFormat="1" ht="16.149999999999999" customHeight="1">
      <c r="A9" s="269" t="s">
        <v>30</v>
      </c>
      <c r="B9" s="271" t="s">
        <v>31</v>
      </c>
      <c r="C9" s="277">
        <f>'Table 4 Refined'!$B$14</f>
        <v>67965</v>
      </c>
      <c r="D9" s="278">
        <f>'Table 4 Refined'!$C$14</f>
        <v>293</v>
      </c>
      <c r="E9" s="278">
        <f>'Table 4 Refined'!$D$14</f>
        <v>1406</v>
      </c>
      <c r="F9" s="278">
        <f>'Table 4 Refined'!$E$14</f>
        <v>58774</v>
      </c>
      <c r="G9" s="278">
        <f>'Table 4 Refined'!$F$14</f>
        <v>2850</v>
      </c>
      <c r="H9" s="169">
        <f>'Table 4 Refined'!$G$14</f>
        <v>1723</v>
      </c>
      <c r="I9" s="278">
        <f>'Table 4 Refined'!$H$14</f>
        <v>41424</v>
      </c>
      <c r="J9" s="283">
        <f>'Table 4 Refined'!$I$14</f>
        <v>362</v>
      </c>
      <c r="K9" s="284">
        <f>'Table 4 Refined'!$J$14</f>
        <v>43</v>
      </c>
      <c r="L9" s="278">
        <f>'Table 4 Refined'!$K$14</f>
        <v>39981</v>
      </c>
      <c r="M9" s="278"/>
      <c r="N9" s="278"/>
      <c r="O9" s="282">
        <f t="shared" si="0"/>
        <v>214821</v>
      </c>
      <c r="P9" s="285">
        <f>'Table 8A FY 2022 '!$D$21</f>
        <v>219046</v>
      </c>
      <c r="Q9" s="281">
        <f t="shared" si="1"/>
        <v>0.98071181395688578</v>
      </c>
      <c r="R9" s="382"/>
      <c r="S9" s="746"/>
      <c r="T9" s="724"/>
    </row>
    <row r="10" spans="1:20" s="19" customFormat="1" ht="16.149999999999999" customHeight="1">
      <c r="A10" s="269" t="s">
        <v>32</v>
      </c>
      <c r="B10" s="271" t="s">
        <v>33</v>
      </c>
      <c r="C10" s="277">
        <f>'Table 5 FTAs '!$C$30</f>
        <v>11149</v>
      </c>
      <c r="D10" s="286">
        <f>'Table 5 FTAs '!$D$30</f>
        <v>16641</v>
      </c>
      <c r="E10" s="278">
        <f>'Table 5 FTAs '!$E$30</f>
        <v>7445</v>
      </c>
      <c r="F10" s="278">
        <f>'Table 5 FTAs '!$H$30</f>
        <v>16077</v>
      </c>
      <c r="G10" s="278">
        <f>'Table 5 FTAs '!$I$30</f>
        <v>34365</v>
      </c>
      <c r="H10" s="278">
        <f>'Table 5 FTAs '!$J$30</f>
        <v>15817</v>
      </c>
      <c r="I10" s="376">
        <f>'Table 5 FTAs '!$K$30</f>
        <v>20135</v>
      </c>
      <c r="J10" s="278">
        <f>'Table 5 FTAs '!$L$30</f>
        <v>17251</v>
      </c>
      <c r="K10" s="278">
        <f>'Table 5 FTAs '!$M$30</f>
        <v>23284</v>
      </c>
      <c r="L10" s="278">
        <f>'Table 5 FTAs '!$N$30</f>
        <v>23913</v>
      </c>
      <c r="M10" s="278"/>
      <c r="N10" s="278"/>
      <c r="O10" s="282">
        <f t="shared" si="0"/>
        <v>186077</v>
      </c>
      <c r="P10" s="285">
        <f>'Table 8A FY 2022 '!$D$44</f>
        <v>211565.75665373946</v>
      </c>
      <c r="Q10" s="281">
        <f t="shared" si="1"/>
        <v>0.87952324111006397</v>
      </c>
      <c r="R10" s="382"/>
      <c r="S10" s="746"/>
      <c r="T10" s="724"/>
    </row>
    <row r="11" spans="1:20" s="19" customFormat="1" ht="16.149999999999999" customHeight="1">
      <c r="A11" s="269" t="s">
        <v>34</v>
      </c>
      <c r="B11" s="271" t="s">
        <v>35</v>
      </c>
      <c r="C11" s="277">
        <f>'Tables 6,7 Re-Export '!$B$23</f>
        <v>11542</v>
      </c>
      <c r="D11" s="278">
        <f>'Tables 6,7 Re-Export '!$C$23</f>
        <v>28326</v>
      </c>
      <c r="E11" s="287">
        <f>'Tables 6,7 Re-Export '!$D$23</f>
        <v>30291</v>
      </c>
      <c r="F11" s="287">
        <f>'Tables 6,7 Re-Export '!$E$23</f>
        <v>15175</v>
      </c>
      <c r="G11" s="287">
        <f>'Tables 6,7 Re-Export '!$F$23</f>
        <v>2348</v>
      </c>
      <c r="H11" s="278">
        <f>'Tables 6,7 Re-Export '!$G$23</f>
        <v>34891</v>
      </c>
      <c r="I11" s="278">
        <f>'Tables 6,7 Re-Export '!$H$23</f>
        <v>56635</v>
      </c>
      <c r="J11" s="278">
        <f>'Tables 6,7 Re-Export '!$I$23</f>
        <v>17850</v>
      </c>
      <c r="K11" s="278">
        <f>'Tables 6,7 Re-Export '!$J$23</f>
        <v>38974</v>
      </c>
      <c r="L11" s="278">
        <f>'Tables 6,7 Re-Export '!$K$23</f>
        <v>3164</v>
      </c>
      <c r="M11" s="278"/>
      <c r="N11" s="278"/>
      <c r="O11" s="282">
        <f t="shared" si="0"/>
        <v>239196</v>
      </c>
      <c r="P11" s="285">
        <f>'Table 8A FY 2022 '!$D$50</f>
        <v>272155.43704194255</v>
      </c>
      <c r="Q11" s="281">
        <f t="shared" si="1"/>
        <v>0.87889480585000002</v>
      </c>
      <c r="R11" s="382"/>
      <c r="S11" s="746"/>
      <c r="T11" s="724"/>
    </row>
    <row r="12" spans="1:20" s="19" customFormat="1" ht="16.149999999999999" customHeight="1">
      <c r="A12" s="288" t="s">
        <v>36</v>
      </c>
      <c r="B12" s="751" t="s">
        <v>37</v>
      </c>
      <c r="C12" s="277">
        <f>'Table 2 Mexico'!$B$22</f>
        <v>18668.72</v>
      </c>
      <c r="D12" s="278">
        <f>'Table 2 Mexico'!$C$22</f>
        <v>43195</v>
      </c>
      <c r="E12" s="278">
        <f>'Table 2 Mexico'!$D$22</f>
        <v>51258.420000000006</v>
      </c>
      <c r="F12" s="278">
        <f>'Table 2 Mexico'!$E$22</f>
        <v>47176.36</v>
      </c>
      <c r="G12" s="278">
        <f>'Table 2 Mexico'!$F$22</f>
        <v>164738.84</v>
      </c>
      <c r="H12" s="278">
        <f>'Table 2 Mexico'!$G$22</f>
        <v>146834.16800000001</v>
      </c>
      <c r="I12" s="278">
        <f>'Table 2 Mexico'!$H$22</f>
        <v>112402.93000000001</v>
      </c>
      <c r="J12" s="278">
        <f>'Table 2 Mexico'!$I$22</f>
        <v>155476.56</v>
      </c>
      <c r="K12" s="278">
        <f>'Table 2 Mexico'!$J$22</f>
        <v>85901.76400000001</v>
      </c>
      <c r="L12" s="278">
        <f>'Table 2 Mexico'!$K$22</f>
        <v>163406.42000000001</v>
      </c>
      <c r="M12" s="278"/>
      <c r="N12" s="278"/>
      <c r="O12" s="282">
        <f t="shared" si="0"/>
        <v>989059.18199999991</v>
      </c>
      <c r="P12" s="285">
        <f>'Table 8A FY 2022 '!$D$48</f>
        <v>1229427.7138149501</v>
      </c>
      <c r="Q12" s="289">
        <f t="shared" si="1"/>
        <v>0.80448746265115534</v>
      </c>
      <c r="R12" s="383"/>
      <c r="S12" s="746"/>
      <c r="T12" s="724"/>
    </row>
    <row r="13" spans="1:20" s="19" customFormat="1" ht="18" customHeight="1">
      <c r="A13" s="269" t="s">
        <v>38</v>
      </c>
      <c r="B13" s="751" t="s">
        <v>39</v>
      </c>
      <c r="C13" s="359">
        <f>'Table 10 High Duty '!B33</f>
        <v>33757.590500000006</v>
      </c>
      <c r="D13" s="517">
        <f>'Table 10 High Duty '!C33</f>
        <v>12620.018699999999</v>
      </c>
      <c r="E13" s="392">
        <f>'Table 10 High Duty '!D33</f>
        <v>35192.503300000004</v>
      </c>
      <c r="F13" s="393">
        <f>'Table 10 High Duty '!E33</f>
        <v>19773.781900000002</v>
      </c>
      <c r="G13" s="393">
        <f>'Table 10 High Duty '!F33</f>
        <v>12522.734299999996</v>
      </c>
      <c r="H13" s="393">
        <f>'Table 10 High Duty '!G33</f>
        <v>9040.3015999999989</v>
      </c>
      <c r="I13" s="393">
        <f>'Table 10 High Duty '!H33</f>
        <v>37370.156600000002</v>
      </c>
      <c r="J13" s="392">
        <f>'Table 10 High Duty '!I33</f>
        <v>24155.442599999998</v>
      </c>
      <c r="K13" s="392">
        <f>'Table 10 High Duty '!$J$33</f>
        <v>50998.340000000004</v>
      </c>
      <c r="L13" s="392">
        <f>'Table 10 High Duty '!$K$33</f>
        <v>16280.050000000001</v>
      </c>
      <c r="M13" s="392"/>
      <c r="N13" s="290"/>
      <c r="O13" s="282">
        <f t="shared" si="0"/>
        <v>251710.91949999999</v>
      </c>
      <c r="P13" s="285">
        <f>'Table 8A FY 2022 '!$D$52</f>
        <v>294835.05679543776</v>
      </c>
      <c r="Q13" s="281">
        <f t="shared" si="1"/>
        <v>0.85373470250059802</v>
      </c>
      <c r="R13" s="382"/>
      <c r="S13" s="740"/>
      <c r="T13" s="724"/>
    </row>
    <row r="14" spans="1:20" s="19" customFormat="1" ht="16.149999999999999" customHeight="1">
      <c r="A14" s="764"/>
      <c r="B14" s="459" t="s">
        <v>40</v>
      </c>
      <c r="C14" s="765">
        <f t="shared" ref="C14:L14" si="2">SUM(C8:C13)</f>
        <v>425934.31049999996</v>
      </c>
      <c r="D14" s="765">
        <f t="shared" si="2"/>
        <v>224161.01869999999</v>
      </c>
      <c r="E14" s="765">
        <f t="shared" si="2"/>
        <v>248658.92330000002</v>
      </c>
      <c r="F14" s="765">
        <f t="shared" si="2"/>
        <v>167253.14189999999</v>
      </c>
      <c r="G14" s="765">
        <f t="shared" si="2"/>
        <v>300487.57429999998</v>
      </c>
      <c r="H14" s="765">
        <f t="shared" si="2"/>
        <v>236639.46960000001</v>
      </c>
      <c r="I14" s="765">
        <f t="shared" si="2"/>
        <v>313865.08659999998</v>
      </c>
      <c r="J14" s="765">
        <f t="shared" si="2"/>
        <v>267963.00260000001</v>
      </c>
      <c r="K14" s="765">
        <f t="shared" si="2"/>
        <v>242442.10400000002</v>
      </c>
      <c r="L14" s="765">
        <f t="shared" si="2"/>
        <v>290746.47000000003</v>
      </c>
      <c r="M14" s="765"/>
      <c r="N14" s="765"/>
      <c r="O14" s="766">
        <f>SUM(O8:O13)</f>
        <v>2718151.1014999999</v>
      </c>
      <c r="P14" s="767">
        <f>SUM(P8:P13)</f>
        <v>3398255.9643060695</v>
      </c>
      <c r="Q14" s="768">
        <f t="shared" si="1"/>
        <v>0.79986649918381048</v>
      </c>
      <c r="R14" s="382"/>
      <c r="S14" s="746"/>
      <c r="T14" s="724"/>
    </row>
    <row r="15" spans="1:20" s="19" customFormat="1" ht="16.149999999999999" customHeight="1">
      <c r="A15" s="269"/>
      <c r="B15" s="271"/>
      <c r="C15" s="374"/>
      <c r="D15" s="372"/>
      <c r="E15" s="372"/>
      <c r="F15" s="372"/>
      <c r="G15" s="372"/>
      <c r="H15" s="372"/>
      <c r="I15" s="376"/>
      <c r="J15" s="376"/>
      <c r="K15" s="372"/>
      <c r="L15" s="388"/>
      <c r="M15" s="387"/>
      <c r="N15" s="372"/>
      <c r="O15" s="282"/>
      <c r="P15" s="285"/>
      <c r="Q15" s="373"/>
      <c r="R15" s="382"/>
      <c r="S15" s="746"/>
    </row>
    <row r="16" spans="1:20" s="19" customFormat="1" ht="15.6" customHeight="1">
      <c r="A16" s="269"/>
      <c r="B16" s="169"/>
      <c r="C16" s="792" t="s">
        <v>41</v>
      </c>
      <c r="D16" s="793"/>
      <c r="E16" s="793"/>
      <c r="F16" s="793"/>
      <c r="G16" s="793"/>
      <c r="H16" s="793"/>
      <c r="I16" s="793"/>
      <c r="J16" s="793"/>
      <c r="K16" s="793"/>
      <c r="L16" s="793"/>
      <c r="M16" s="793"/>
      <c r="N16" s="794"/>
      <c r="O16" s="795" t="s">
        <v>42</v>
      </c>
      <c r="P16" s="796"/>
      <c r="Q16" s="67" t="s">
        <v>26</v>
      </c>
      <c r="R16" s="384"/>
      <c r="S16" s="384"/>
    </row>
    <row r="17" spans="1:19" s="19" customFormat="1" ht="14.45" customHeight="1">
      <c r="A17" s="269"/>
      <c r="B17" s="270"/>
      <c r="C17" s="792"/>
      <c r="D17" s="793"/>
      <c r="E17" s="793"/>
      <c r="F17" s="793"/>
      <c r="G17" s="793"/>
      <c r="H17" s="793"/>
      <c r="I17" s="793"/>
      <c r="J17" s="793"/>
      <c r="K17" s="793"/>
      <c r="L17" s="793"/>
      <c r="M17" s="793"/>
      <c r="N17" s="794"/>
      <c r="O17" s="795"/>
      <c r="P17" s="796"/>
      <c r="Q17" s="67"/>
      <c r="R17" s="384"/>
      <c r="S17" s="384"/>
    </row>
    <row r="18" spans="1:19" s="19" customFormat="1" ht="15" customHeight="1">
      <c r="A18" s="790" t="s">
        <v>27</v>
      </c>
      <c r="B18" s="791"/>
      <c r="C18" s="277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9">
        <f>+O21+O20+O19</f>
        <v>1364865.2550812501</v>
      </c>
      <c r="P18" s="291">
        <f t="shared" ref="P18:P25" si="3">ROUND(+P7*1.10231125,0)</f>
        <v>1765724</v>
      </c>
      <c r="Q18" s="292">
        <f>+O18/P18</f>
        <v>0.77297768795193933</v>
      </c>
      <c r="R18" s="385"/>
      <c r="S18" s="385"/>
    </row>
    <row r="19" spans="1:19" s="19" customFormat="1" ht="15" customHeight="1">
      <c r="A19" s="293" t="s">
        <v>28</v>
      </c>
      <c r="B19" s="271" t="s">
        <v>29</v>
      </c>
      <c r="C19" s="277">
        <f t="shared" ref="C19:L19" si="4">C8*1.10231125</f>
        <v>311790.94168500003</v>
      </c>
      <c r="D19" s="278">
        <f t="shared" si="4"/>
        <v>135679.08251750001</v>
      </c>
      <c r="E19" s="278">
        <f t="shared" si="4"/>
        <v>135657.03629250001</v>
      </c>
      <c r="F19" s="278">
        <f t="shared" si="4"/>
        <v>11328.452716250002</v>
      </c>
      <c r="G19" s="278">
        <f t="shared" si="4"/>
        <v>92222.666108750011</v>
      </c>
      <c r="H19" s="278">
        <f t="shared" si="4"/>
        <v>31232.886957500003</v>
      </c>
      <c r="I19" s="278">
        <f t="shared" si="4"/>
        <v>50593.881752500005</v>
      </c>
      <c r="J19" s="278">
        <f t="shared" si="4"/>
        <v>58276.991165000007</v>
      </c>
      <c r="K19" s="278">
        <f t="shared" si="4"/>
        <v>47665.040761250006</v>
      </c>
      <c r="L19" s="278">
        <f t="shared" si="4"/>
        <v>48503.899622500001</v>
      </c>
      <c r="M19" s="278"/>
      <c r="N19" s="278"/>
      <c r="O19" s="279">
        <f t="shared" ref="O19:O25" si="5">+O8*1.10231125</f>
        <v>922950.87957875011</v>
      </c>
      <c r="P19" s="291">
        <f t="shared" si="3"/>
        <v>1291056</v>
      </c>
      <c r="Q19" s="292">
        <f t="shared" ref="Q19:Q25" si="6">+O19/P19</f>
        <v>0.71488059354416089</v>
      </c>
      <c r="R19" s="385"/>
      <c r="S19" s="385"/>
    </row>
    <row r="20" spans="1:19" s="19" customFormat="1" ht="15" customHeight="1">
      <c r="A20" s="293" t="s">
        <v>30</v>
      </c>
      <c r="B20" s="271" t="s">
        <v>31</v>
      </c>
      <c r="C20" s="277">
        <f>C9*1.10231125</f>
        <v>74918.584106250011</v>
      </c>
      <c r="D20" s="278">
        <f t="shared" ref="D20:L20" si="7">D9*1.10231125</f>
        <v>322.97719625000002</v>
      </c>
      <c r="E20" s="278">
        <f t="shared" si="7"/>
        <v>1549.8496175</v>
      </c>
      <c r="F20" s="278">
        <f t="shared" si="7"/>
        <v>64787.241407500005</v>
      </c>
      <c r="G20" s="278">
        <f t="shared" si="7"/>
        <v>3141.5870625000002</v>
      </c>
      <c r="H20" s="278">
        <f t="shared" si="7"/>
        <v>1899.28228375</v>
      </c>
      <c r="I20" s="278">
        <f t="shared" si="7"/>
        <v>45662.141220000005</v>
      </c>
      <c r="J20" s="278">
        <f t="shared" si="7"/>
        <v>399.03667250000001</v>
      </c>
      <c r="K20" s="278">
        <f t="shared" si="7"/>
        <v>47.399383750000005</v>
      </c>
      <c r="L20" s="278">
        <f t="shared" si="7"/>
        <v>44071.506086250003</v>
      </c>
      <c r="M20" s="278"/>
      <c r="N20" s="278"/>
      <c r="O20" s="282">
        <f t="shared" si="5"/>
        <v>236799.60503625002</v>
      </c>
      <c r="P20" s="291">
        <f t="shared" si="3"/>
        <v>241457</v>
      </c>
      <c r="Q20" s="292">
        <f t="shared" si="6"/>
        <v>0.98071128621762893</v>
      </c>
      <c r="R20" s="385"/>
      <c r="S20" s="385"/>
    </row>
    <row r="21" spans="1:19" s="19" customFormat="1" ht="15" customHeight="1">
      <c r="A21" s="293" t="s">
        <v>32</v>
      </c>
      <c r="B21" s="271" t="s">
        <v>33</v>
      </c>
      <c r="C21" s="277">
        <f>C10*1.10231125</f>
        <v>12289.668126250001</v>
      </c>
      <c r="D21" s="278">
        <f t="shared" ref="D21:L21" si="8">D10*1.10231125</f>
        <v>18343.561511250002</v>
      </c>
      <c r="E21" s="278">
        <f t="shared" si="8"/>
        <v>8206.7072562499998</v>
      </c>
      <c r="F21" s="278">
        <f t="shared" si="8"/>
        <v>17721.857966250001</v>
      </c>
      <c r="G21" s="278">
        <f t="shared" si="8"/>
        <v>37880.926106250001</v>
      </c>
      <c r="H21" s="278">
        <f t="shared" si="8"/>
        <v>17435.257041250003</v>
      </c>
      <c r="I21" s="278">
        <f t="shared" si="8"/>
        <v>22195.037018750001</v>
      </c>
      <c r="J21" s="278">
        <f t="shared" si="8"/>
        <v>19015.971373750002</v>
      </c>
      <c r="K21" s="278">
        <f t="shared" si="8"/>
        <v>25666.215145000002</v>
      </c>
      <c r="L21" s="278">
        <f t="shared" si="8"/>
        <v>26359.56892125</v>
      </c>
      <c r="M21" s="278"/>
      <c r="N21" s="278"/>
      <c r="O21" s="282">
        <f t="shared" si="5"/>
        <v>205114.77046625002</v>
      </c>
      <c r="P21" s="291">
        <f t="shared" si="3"/>
        <v>233211</v>
      </c>
      <c r="Q21" s="292">
        <f t="shared" si="6"/>
        <v>0.87952442408912967</v>
      </c>
      <c r="R21" s="385"/>
      <c r="S21" s="385"/>
    </row>
    <row r="22" spans="1:19" s="19" customFormat="1" ht="15" customHeight="1">
      <c r="A22" s="293" t="s">
        <v>34</v>
      </c>
      <c r="B22" s="271" t="s">
        <v>35</v>
      </c>
      <c r="C22" s="277">
        <f>C11*1.10231125</f>
        <v>12722.876447500001</v>
      </c>
      <c r="D22" s="278">
        <f t="shared" ref="D22:L22" si="9">D11*1.10231125</f>
        <v>31224.068467500001</v>
      </c>
      <c r="E22" s="278">
        <f t="shared" si="9"/>
        <v>33390.110073750002</v>
      </c>
      <c r="F22" s="278">
        <f t="shared" si="9"/>
        <v>16727.57321875</v>
      </c>
      <c r="G22" s="278">
        <f t="shared" si="9"/>
        <v>2588.226815</v>
      </c>
      <c r="H22" s="278">
        <f t="shared" si="9"/>
        <v>38460.741823750002</v>
      </c>
      <c r="I22" s="278">
        <f t="shared" si="9"/>
        <v>62429.397643750002</v>
      </c>
      <c r="J22" s="278">
        <f t="shared" si="9"/>
        <v>19676.2558125</v>
      </c>
      <c r="K22" s="278">
        <f t="shared" si="9"/>
        <v>42961.478657500003</v>
      </c>
      <c r="L22" s="278">
        <f t="shared" si="9"/>
        <v>3487.7127950000004</v>
      </c>
      <c r="M22" s="278"/>
      <c r="N22" s="278"/>
      <c r="O22" s="282">
        <f t="shared" si="5"/>
        <v>263668.44175500004</v>
      </c>
      <c r="P22" s="291">
        <f t="shared" si="3"/>
        <v>300000</v>
      </c>
      <c r="Q22" s="292">
        <f t="shared" si="6"/>
        <v>0.87889480585000013</v>
      </c>
      <c r="R22" s="385"/>
      <c r="S22" s="385"/>
    </row>
    <row r="23" spans="1:19" s="19" customFormat="1" ht="15" customHeight="1">
      <c r="A23" s="294" t="s">
        <v>36</v>
      </c>
      <c r="B23" s="295" t="s">
        <v>37</v>
      </c>
      <c r="C23" s="277">
        <f>C12*1.10231125</f>
        <v>20578.740079100004</v>
      </c>
      <c r="D23" s="278">
        <f t="shared" ref="D23:L23" si="10">D12*1.10231125</f>
        <v>47614.334443750005</v>
      </c>
      <c r="E23" s="278">
        <f t="shared" si="10"/>
        <v>56502.73302322501</v>
      </c>
      <c r="F23" s="278">
        <f t="shared" si="10"/>
        <v>52003.032362050006</v>
      </c>
      <c r="G23" s="278">
        <f t="shared" si="10"/>
        <v>181593.47664395001</v>
      </c>
      <c r="H23" s="278">
        <f t="shared" si="10"/>
        <v>161856.95527079003</v>
      </c>
      <c r="I23" s="278">
        <f t="shared" si="10"/>
        <v>123903.01427196251</v>
      </c>
      <c r="J23" s="278">
        <f t="shared" si="10"/>
        <v>171383.56119930002</v>
      </c>
      <c r="K23" s="278">
        <f t="shared" si="10"/>
        <v>94690.480852045017</v>
      </c>
      <c r="L23" s="278">
        <f t="shared" si="10"/>
        <v>180124.73508822502</v>
      </c>
      <c r="M23" s="278"/>
      <c r="N23" s="278"/>
      <c r="O23" s="282">
        <f t="shared" si="5"/>
        <v>1090251.0632343974</v>
      </c>
      <c r="P23" s="291">
        <f t="shared" si="3"/>
        <v>1355212</v>
      </c>
      <c r="Q23" s="296">
        <f t="shared" si="6"/>
        <v>0.80448746265115523</v>
      </c>
      <c r="R23" s="386"/>
      <c r="S23" s="386"/>
    </row>
    <row r="24" spans="1:19" s="19" customFormat="1" ht="16.149999999999999" customHeight="1">
      <c r="A24" s="269" t="s">
        <v>38</v>
      </c>
      <c r="B24" s="751" t="s">
        <v>39</v>
      </c>
      <c r="C24" s="277">
        <f>C13*1.10231125</f>
        <v>37211.371781043134</v>
      </c>
      <c r="D24" s="278">
        <f t="shared" ref="D24:L24" si="11">D13*1.10231125</f>
        <v>13911.188588220375</v>
      </c>
      <c r="E24" s="278">
        <f t="shared" si="11"/>
        <v>38793.092303252131</v>
      </c>
      <c r="F24" s="278">
        <f t="shared" si="11"/>
        <v>21796.862243416377</v>
      </c>
      <c r="G24" s="278">
        <f t="shared" si="11"/>
        <v>13803.950899650872</v>
      </c>
      <c r="H24" s="278">
        <f t="shared" si="11"/>
        <v>9965.2261570729988</v>
      </c>
      <c r="I24" s="278">
        <f t="shared" si="11"/>
        <v>41193.544034441758</v>
      </c>
      <c r="J24" s="278">
        <f t="shared" si="11"/>
        <v>26626.816126709251</v>
      </c>
      <c r="K24" s="278">
        <f t="shared" si="11"/>
        <v>56216.043913325011</v>
      </c>
      <c r="L24" s="278">
        <f t="shared" si="11"/>
        <v>17945.682265562504</v>
      </c>
      <c r="M24" s="278"/>
      <c r="N24" s="278"/>
      <c r="O24" s="282">
        <f t="shared" si="5"/>
        <v>277463.7783126944</v>
      </c>
      <c r="P24" s="291">
        <f t="shared" si="3"/>
        <v>325000</v>
      </c>
      <c r="Q24" s="292">
        <f t="shared" si="6"/>
        <v>0.85373470250059813</v>
      </c>
      <c r="R24" s="385"/>
      <c r="S24" s="385"/>
    </row>
    <row r="25" spans="1:19" s="19" customFormat="1" ht="15" customHeight="1">
      <c r="A25" s="764"/>
      <c r="B25" s="458" t="s">
        <v>40</v>
      </c>
      <c r="C25" s="769">
        <f t="shared" ref="C25:L25" si="12">SUM(C19:C24)</f>
        <v>469512.18222514319</v>
      </c>
      <c r="D25" s="309">
        <f t="shared" si="12"/>
        <v>247095.21272447039</v>
      </c>
      <c r="E25" s="309">
        <f t="shared" si="12"/>
        <v>274099.52856647712</v>
      </c>
      <c r="F25" s="309">
        <f t="shared" si="12"/>
        <v>184365.01991421636</v>
      </c>
      <c r="G25" s="309">
        <f t="shared" si="12"/>
        <v>331230.83363610093</v>
      </c>
      <c r="H25" s="309">
        <f t="shared" si="12"/>
        <v>260850.34953411302</v>
      </c>
      <c r="I25" s="309">
        <f t="shared" si="12"/>
        <v>345977.01594140433</v>
      </c>
      <c r="J25" s="309">
        <f t="shared" si="12"/>
        <v>295378.63234975922</v>
      </c>
      <c r="K25" s="309">
        <f t="shared" si="12"/>
        <v>267246.65871287003</v>
      </c>
      <c r="L25" s="309">
        <f t="shared" si="12"/>
        <v>320493.10477878753</v>
      </c>
      <c r="M25" s="309"/>
      <c r="N25" s="309"/>
      <c r="O25" s="766">
        <f t="shared" si="5"/>
        <v>2996248.5383833419</v>
      </c>
      <c r="P25" s="770">
        <f t="shared" si="3"/>
        <v>3745936</v>
      </c>
      <c r="Q25" s="771">
        <f t="shared" si="6"/>
        <v>0.7998664521719917</v>
      </c>
      <c r="R25" s="385"/>
      <c r="S25" s="385"/>
    </row>
    <row r="26" spans="1:19" s="19" customFormat="1" ht="13.9" customHeight="1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</row>
    <row r="27" spans="1:19" s="19" customFormat="1" ht="16.149999999999999" customHeight="1">
      <c r="A27" s="169" t="s">
        <v>43</v>
      </c>
      <c r="B27" s="271"/>
      <c r="C27" s="271"/>
      <c r="D27" s="169"/>
      <c r="E27" s="169"/>
      <c r="F27" s="169"/>
      <c r="G27" s="169"/>
      <c r="H27" s="169"/>
      <c r="I27" s="297"/>
      <c r="J27" s="169"/>
      <c r="K27" s="169"/>
      <c r="L27" s="169"/>
      <c r="M27" s="169"/>
      <c r="N27" s="169"/>
      <c r="O27" s="169"/>
      <c r="P27" s="298"/>
      <c r="Q27" s="298"/>
      <c r="R27" s="298"/>
      <c r="S27" s="298"/>
    </row>
    <row r="28" spans="1:19" s="19" customFormat="1" ht="16.149999999999999" customHeight="1">
      <c r="A28" s="169" t="s">
        <v>44</v>
      </c>
      <c r="B28" s="271"/>
      <c r="C28" s="271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299"/>
      <c r="P28" s="300"/>
      <c r="Q28" s="300"/>
      <c r="R28" s="300"/>
      <c r="S28" s="741"/>
    </row>
    <row r="29" spans="1:19" s="19" customFormat="1" ht="16.149999999999999" customHeight="1">
      <c r="A29" s="32" t="s">
        <v>45</v>
      </c>
      <c r="B29" s="32"/>
      <c r="C29" s="32"/>
      <c r="D29" s="32"/>
      <c r="E29" s="32"/>
      <c r="F29" s="32"/>
      <c r="G29" s="169"/>
      <c r="H29" s="169"/>
      <c r="I29" s="169"/>
      <c r="J29" s="169"/>
      <c r="K29" s="169"/>
      <c r="L29" s="284"/>
      <c r="M29" s="169"/>
      <c r="N29" s="169"/>
      <c r="O29" s="301"/>
      <c r="P29" s="300"/>
      <c r="Q29" s="300"/>
      <c r="R29" s="300"/>
      <c r="S29" s="300"/>
    </row>
    <row r="30" spans="1:19" s="19" customFormat="1" ht="16.149999999999999" customHeight="1">
      <c r="A30" s="169" t="s">
        <v>46</v>
      </c>
      <c r="B30" s="271"/>
      <c r="C30" s="302"/>
      <c r="D30" s="169"/>
      <c r="E30" s="303"/>
      <c r="F30" s="169"/>
      <c r="G30" s="303"/>
      <c r="H30" s="169"/>
      <c r="I30" s="169"/>
      <c r="J30" s="263"/>
      <c r="K30" s="263"/>
      <c r="L30" s="169"/>
      <c r="M30" s="169"/>
      <c r="N30" s="169"/>
      <c r="O30" s="169"/>
      <c r="P30" s="304"/>
      <c r="Q30" s="304"/>
      <c r="R30" s="304"/>
      <c r="S30" s="304"/>
    </row>
    <row r="31" spans="1:19">
      <c r="A31" s="39"/>
      <c r="B31" s="39"/>
      <c r="C31" s="39"/>
      <c r="D31" s="39"/>
      <c r="E31" s="39"/>
      <c r="F31" s="39"/>
      <c r="G31" s="39"/>
      <c r="H31" s="39"/>
      <c r="I31" s="39"/>
      <c r="J31" s="21"/>
      <c r="K31" s="312"/>
      <c r="L31" s="200"/>
      <c r="M31" s="200"/>
      <c r="N31" s="200"/>
      <c r="O31" s="41"/>
      <c r="P31" s="200"/>
      <c r="Q31" s="200"/>
    </row>
    <row r="32" spans="1:19">
      <c r="A32" s="200"/>
      <c r="B32" s="200"/>
      <c r="C32" s="68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00"/>
      <c r="Q32" s="200"/>
    </row>
    <row r="35" spans="2:2">
      <c r="B35" s="38"/>
    </row>
    <row r="37" spans="2:2">
      <c r="B37" s="200"/>
    </row>
    <row r="39" spans="2:2">
      <c r="B39" s="40"/>
    </row>
  </sheetData>
  <mergeCells count="10">
    <mergeCell ref="A7:B7"/>
    <mergeCell ref="C2:E2"/>
    <mergeCell ref="F2:N2"/>
    <mergeCell ref="C5:N5"/>
    <mergeCell ref="O5:P5"/>
    <mergeCell ref="A18:B18"/>
    <mergeCell ref="C17:N17"/>
    <mergeCell ref="O17:P17"/>
    <mergeCell ref="C16:N16"/>
    <mergeCell ref="O16:P16"/>
  </mergeCells>
  <pageMargins left="0.5" right="0.17" top="1" bottom="0.17" header="0.3" footer="0.17"/>
  <pageSetup scale="67" orientation="landscape" r:id="rId1"/>
  <ignoredErrors>
    <ignoredError sqref="Q7 O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5F3-1CE9-4A2C-BDD9-66A4FDA20037}">
  <sheetPr>
    <pageSetUpPr fitToPage="1"/>
  </sheetPr>
  <dimension ref="A1:T32"/>
  <sheetViews>
    <sheetView zoomScaleNormal="100" workbookViewId="0">
      <selection activeCell="N28" sqref="N28"/>
    </sheetView>
  </sheetViews>
  <sheetFormatPr defaultColWidth="8.85546875" defaultRowHeight="12.75"/>
  <cols>
    <col min="1" max="1" width="28.28515625" style="161" customWidth="1"/>
    <col min="2" max="6" width="9.7109375" style="161" customWidth="1"/>
    <col min="7" max="7" width="9.42578125" style="512" customWidth="1"/>
    <col min="8" max="13" width="9.42578125" style="161" customWidth="1"/>
    <col min="14" max="14" width="15.7109375" style="161" customWidth="1"/>
    <col min="15" max="16384" width="8.85546875" style="161"/>
  </cols>
  <sheetData>
    <row r="1" spans="1:20" s="168" customFormat="1" ht="21.2" customHeight="1">
      <c r="A1" s="805" t="s">
        <v>47</v>
      </c>
      <c r="B1" s="806"/>
      <c r="C1" s="806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752"/>
      <c r="P1" s="752"/>
      <c r="Q1" s="752"/>
      <c r="R1" s="752"/>
      <c r="S1" s="752"/>
      <c r="T1" s="752"/>
    </row>
    <row r="2" spans="1:20" ht="31.7" customHeight="1">
      <c r="A2" s="473"/>
      <c r="B2" s="474" t="s">
        <v>48</v>
      </c>
      <c r="C2" s="474" t="s">
        <v>49</v>
      </c>
      <c r="D2" s="474" t="s">
        <v>50</v>
      </c>
      <c r="E2" s="474" t="s">
        <v>51</v>
      </c>
      <c r="F2" s="474" t="s">
        <v>52</v>
      </c>
      <c r="G2" s="474" t="s">
        <v>53</v>
      </c>
      <c r="H2" s="474" t="s">
        <v>54</v>
      </c>
      <c r="I2" s="474" t="s">
        <v>55</v>
      </c>
      <c r="J2" s="474" t="s">
        <v>56</v>
      </c>
      <c r="K2" s="474" t="s">
        <v>57</v>
      </c>
      <c r="L2" s="474" t="s">
        <v>58</v>
      </c>
      <c r="M2" s="475" t="s">
        <v>59</v>
      </c>
      <c r="N2" s="476" t="s">
        <v>60</v>
      </c>
    </row>
    <row r="3" spans="1:20" ht="18" customHeight="1">
      <c r="A3" s="477"/>
      <c r="B3" s="808" t="s">
        <v>61</v>
      </c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10"/>
      <c r="N3" s="478"/>
    </row>
    <row r="4" spans="1:20" ht="15.6" customHeight="1">
      <c r="A4" s="479" t="s">
        <v>62</v>
      </c>
      <c r="B4" s="480"/>
      <c r="C4" s="481"/>
      <c r="D4" s="481"/>
      <c r="E4" s="481"/>
      <c r="F4" s="482"/>
      <c r="G4" s="481"/>
      <c r="H4" s="481"/>
      <c r="I4" s="163"/>
      <c r="J4" s="163"/>
      <c r="K4" s="483"/>
      <c r="L4" s="483"/>
      <c r="M4" s="484"/>
      <c r="N4" s="485"/>
    </row>
    <row r="5" spans="1:20" ht="15.6" customHeight="1">
      <c r="A5" s="486" t="s">
        <v>63</v>
      </c>
      <c r="B5" s="487">
        <v>0</v>
      </c>
      <c r="C5" s="488">
        <v>0</v>
      </c>
      <c r="D5" s="488">
        <v>14999</v>
      </c>
      <c r="E5" s="489">
        <v>0</v>
      </c>
      <c r="F5" s="488">
        <v>30101</v>
      </c>
      <c r="G5" s="490">
        <v>47453.599999999999</v>
      </c>
      <c r="H5" s="496">
        <v>15000</v>
      </c>
      <c r="I5" s="613">
        <v>67903</v>
      </c>
      <c r="J5" s="365">
        <v>30559.4</v>
      </c>
      <c r="K5" s="491"/>
      <c r="L5" s="483"/>
      <c r="M5" s="484"/>
      <c r="N5" s="485">
        <f>SUM(B5:M5)</f>
        <v>206016</v>
      </c>
      <c r="P5" s="734"/>
      <c r="R5" s="718"/>
      <c r="T5" s="40"/>
    </row>
    <row r="6" spans="1:20" ht="15.6" customHeight="1">
      <c r="A6" s="486" t="s">
        <v>64</v>
      </c>
      <c r="B6" s="487">
        <v>159</v>
      </c>
      <c r="C6" s="488">
        <v>58</v>
      </c>
      <c r="D6" s="488">
        <v>0</v>
      </c>
      <c r="E6" s="489">
        <v>1442</v>
      </c>
      <c r="F6" s="488">
        <v>1748</v>
      </c>
      <c r="G6" s="490">
        <v>1991.8</v>
      </c>
      <c r="H6" s="496">
        <v>607.9</v>
      </c>
      <c r="I6" s="613">
        <v>96.4</v>
      </c>
      <c r="J6" s="365">
        <v>192.8</v>
      </c>
      <c r="K6" s="491"/>
      <c r="L6" s="483"/>
      <c r="M6" s="484"/>
      <c r="N6" s="485">
        <f t="shared" ref="N6:N19" si="0">SUM(B6:M6)</f>
        <v>6295.9</v>
      </c>
      <c r="P6" s="734"/>
      <c r="R6" s="718"/>
      <c r="T6" s="40"/>
    </row>
    <row r="7" spans="1:20" ht="15.6" customHeight="1">
      <c r="A7" s="486" t="s">
        <v>65</v>
      </c>
      <c r="B7" s="487">
        <v>1559</v>
      </c>
      <c r="C7" s="488">
        <v>5230</v>
      </c>
      <c r="D7" s="488">
        <v>7287</v>
      </c>
      <c r="E7" s="489">
        <v>6451</v>
      </c>
      <c r="F7" s="488">
        <v>10170</v>
      </c>
      <c r="G7" s="490">
        <v>16740.3</v>
      </c>
      <c r="H7" s="496">
        <v>9672.4</v>
      </c>
      <c r="I7" s="490">
        <v>6023.1</v>
      </c>
      <c r="J7" s="365">
        <v>11206.7</v>
      </c>
      <c r="K7" s="491"/>
      <c r="L7" s="483"/>
      <c r="M7" s="484"/>
      <c r="N7" s="485">
        <f t="shared" si="0"/>
        <v>74339.5</v>
      </c>
      <c r="P7" s="734"/>
      <c r="R7" s="718"/>
      <c r="T7" s="40"/>
    </row>
    <row r="8" spans="1:20" ht="15.6" customHeight="1">
      <c r="A8" s="486" t="s">
        <v>66</v>
      </c>
      <c r="B8" s="487">
        <v>2450</v>
      </c>
      <c r="C8" s="488">
        <v>0</v>
      </c>
      <c r="D8" s="488">
        <v>0</v>
      </c>
      <c r="E8" s="489">
        <v>1932</v>
      </c>
      <c r="F8" s="488">
        <v>2171</v>
      </c>
      <c r="G8" s="490">
        <v>3500</v>
      </c>
      <c r="H8" s="496">
        <v>2590</v>
      </c>
      <c r="I8" s="613">
        <v>2170</v>
      </c>
      <c r="J8" s="365">
        <v>3743.6</v>
      </c>
      <c r="K8" s="491"/>
      <c r="L8" s="483"/>
      <c r="M8" s="484"/>
      <c r="N8" s="485">
        <f t="shared" si="0"/>
        <v>18556.599999999999</v>
      </c>
      <c r="P8" s="734"/>
      <c r="R8" s="718"/>
      <c r="T8" s="40"/>
    </row>
    <row r="9" spans="1:20" ht="15.6" customHeight="1">
      <c r="A9" s="626" t="s">
        <v>67</v>
      </c>
      <c r="B9" s="487">
        <v>0</v>
      </c>
      <c r="C9" s="488">
        <v>0</v>
      </c>
      <c r="D9" s="488">
        <v>0</v>
      </c>
      <c r="E9" s="489">
        <v>0</v>
      </c>
      <c r="F9" s="488">
        <v>17640</v>
      </c>
      <c r="G9" s="490">
        <v>0</v>
      </c>
      <c r="H9" s="496">
        <v>0</v>
      </c>
      <c r="I9" s="613">
        <v>0</v>
      </c>
      <c r="J9" s="365">
        <v>0</v>
      </c>
      <c r="K9" s="491"/>
      <c r="L9" s="483"/>
      <c r="M9" s="484"/>
      <c r="N9" s="485">
        <f t="shared" si="0"/>
        <v>17640</v>
      </c>
      <c r="P9" s="734"/>
      <c r="R9" s="718"/>
      <c r="T9" s="40"/>
    </row>
    <row r="10" spans="1:20" ht="15.6" customHeight="1">
      <c r="A10" s="486" t="s">
        <v>68</v>
      </c>
      <c r="B10" s="492">
        <v>0</v>
      </c>
      <c r="C10" s="488">
        <v>15214</v>
      </c>
      <c r="D10" s="488">
        <v>0</v>
      </c>
      <c r="E10" s="489">
        <v>0</v>
      </c>
      <c r="F10" s="493">
        <v>0</v>
      </c>
      <c r="G10" s="490">
        <v>0</v>
      </c>
      <c r="H10" s="496">
        <v>10929.5</v>
      </c>
      <c r="I10" s="613">
        <v>0</v>
      </c>
      <c r="J10" s="365">
        <v>0</v>
      </c>
      <c r="K10" s="491"/>
      <c r="L10" s="483"/>
      <c r="M10" s="484"/>
      <c r="N10" s="485">
        <f t="shared" si="0"/>
        <v>26143.5</v>
      </c>
      <c r="P10" s="734"/>
      <c r="R10" s="718"/>
      <c r="T10" s="40"/>
    </row>
    <row r="11" spans="1:20" ht="15.6" customHeight="1">
      <c r="A11" s="486" t="s">
        <v>69</v>
      </c>
      <c r="B11" s="487">
        <v>579</v>
      </c>
      <c r="C11" s="488">
        <v>1194</v>
      </c>
      <c r="D11" s="488">
        <v>885</v>
      </c>
      <c r="E11" s="494">
        <v>844</v>
      </c>
      <c r="F11" s="493">
        <v>1958</v>
      </c>
      <c r="G11" s="490">
        <v>2914.7</v>
      </c>
      <c r="H11" s="496">
        <v>1330.1</v>
      </c>
      <c r="I11" s="613">
        <v>1917.5</v>
      </c>
      <c r="J11" s="365">
        <v>1075.3</v>
      </c>
      <c r="K11" s="491"/>
      <c r="L11" s="483"/>
      <c r="M11" s="484"/>
      <c r="N11" s="485">
        <f t="shared" si="0"/>
        <v>12697.6</v>
      </c>
      <c r="P11" s="734"/>
      <c r="R11" s="718"/>
      <c r="T11" s="40"/>
    </row>
    <row r="12" spans="1:20" ht="15.6" customHeight="1">
      <c r="A12" s="486" t="s">
        <v>70</v>
      </c>
      <c r="B12" s="487">
        <v>0</v>
      </c>
      <c r="C12" s="488">
        <v>0</v>
      </c>
      <c r="D12" s="488">
        <v>0</v>
      </c>
      <c r="E12" s="494">
        <v>0</v>
      </c>
      <c r="F12" s="493">
        <v>0</v>
      </c>
      <c r="G12" s="490">
        <v>114</v>
      </c>
      <c r="H12" s="496">
        <v>348</v>
      </c>
      <c r="I12" s="613">
        <v>0</v>
      </c>
      <c r="J12" s="365">
        <v>0</v>
      </c>
      <c r="K12" s="491"/>
      <c r="L12" s="483"/>
      <c r="M12" s="484"/>
      <c r="N12" s="485">
        <f t="shared" si="0"/>
        <v>462</v>
      </c>
      <c r="P12" s="734"/>
      <c r="R12" s="718"/>
      <c r="T12" s="40"/>
    </row>
    <row r="13" spans="1:20" ht="15.6" customHeight="1">
      <c r="A13" s="486" t="s">
        <v>71</v>
      </c>
      <c r="B13" s="487">
        <v>0</v>
      </c>
      <c r="C13" s="488">
        <v>250</v>
      </c>
      <c r="D13" s="488">
        <v>2840</v>
      </c>
      <c r="E13" s="489">
        <v>1175</v>
      </c>
      <c r="F13" s="488">
        <v>325</v>
      </c>
      <c r="G13" s="490">
        <v>950</v>
      </c>
      <c r="H13" s="496">
        <v>1900</v>
      </c>
      <c r="I13" s="613">
        <v>1841</v>
      </c>
      <c r="J13" s="365">
        <v>8082</v>
      </c>
      <c r="K13" s="491"/>
      <c r="L13" s="483"/>
      <c r="M13" s="484"/>
      <c r="N13" s="485">
        <f t="shared" si="0"/>
        <v>17363</v>
      </c>
      <c r="P13" s="734"/>
      <c r="R13" s="718"/>
      <c r="T13" s="40"/>
    </row>
    <row r="14" spans="1:20" ht="15.6" customHeight="1">
      <c r="A14" s="486" t="s">
        <v>72</v>
      </c>
      <c r="B14" s="487">
        <v>10803</v>
      </c>
      <c r="C14" s="488">
        <v>60</v>
      </c>
      <c r="D14" s="488">
        <v>835</v>
      </c>
      <c r="E14" s="494">
        <v>808</v>
      </c>
      <c r="F14" s="493">
        <v>2044</v>
      </c>
      <c r="G14" s="490">
        <v>31003.599999999999</v>
      </c>
      <c r="H14" s="496">
        <v>32024.1</v>
      </c>
      <c r="I14" s="613">
        <v>1232.0999999999999</v>
      </c>
      <c r="J14" s="365">
        <v>1295.9000000000001</v>
      </c>
      <c r="K14" s="491"/>
      <c r="L14" s="483"/>
      <c r="M14" s="484"/>
      <c r="N14" s="485">
        <f t="shared" si="0"/>
        <v>80105.7</v>
      </c>
      <c r="P14" s="734"/>
      <c r="R14" s="718"/>
      <c r="T14" s="40"/>
    </row>
    <row r="15" spans="1:20" ht="15.6" customHeight="1">
      <c r="A15" s="626" t="s">
        <v>73</v>
      </c>
      <c r="B15" s="487">
        <v>0</v>
      </c>
      <c r="C15" s="488">
        <v>0</v>
      </c>
      <c r="D15" s="488">
        <v>0</v>
      </c>
      <c r="E15" s="494">
        <v>0</v>
      </c>
      <c r="F15" s="493">
        <v>25390</v>
      </c>
      <c r="G15" s="490">
        <v>0</v>
      </c>
      <c r="H15" s="496">
        <v>0</v>
      </c>
      <c r="I15" s="613">
        <v>34188.400000000001</v>
      </c>
      <c r="J15" s="365">
        <v>10000</v>
      </c>
      <c r="K15" s="491"/>
      <c r="L15" s="483"/>
      <c r="M15" s="484"/>
      <c r="N15" s="485">
        <f t="shared" si="0"/>
        <v>69578.399999999994</v>
      </c>
      <c r="P15" s="734"/>
      <c r="R15" s="718"/>
      <c r="T15" s="40"/>
    </row>
    <row r="16" spans="1:20" ht="15.6" customHeight="1">
      <c r="A16" s="486" t="s">
        <v>74</v>
      </c>
      <c r="B16" s="487">
        <v>323</v>
      </c>
      <c r="C16" s="488">
        <v>2146</v>
      </c>
      <c r="D16" s="488">
        <v>0</v>
      </c>
      <c r="E16" s="494">
        <v>0</v>
      </c>
      <c r="F16" s="493">
        <v>220</v>
      </c>
      <c r="G16" s="490">
        <v>44</v>
      </c>
      <c r="H16" s="496">
        <v>88</v>
      </c>
      <c r="I16" s="496">
        <v>337.9</v>
      </c>
      <c r="J16" s="365">
        <v>491.9</v>
      </c>
      <c r="K16" s="491"/>
      <c r="L16" s="483"/>
      <c r="M16" s="484"/>
      <c r="N16" s="485">
        <f t="shared" si="0"/>
        <v>3650.8</v>
      </c>
      <c r="P16" s="734"/>
      <c r="R16" s="718"/>
      <c r="T16" s="40"/>
    </row>
    <row r="17" spans="1:20" ht="15.6" customHeight="1">
      <c r="A17" s="486" t="s">
        <v>75</v>
      </c>
      <c r="B17" s="487">
        <v>0</v>
      </c>
      <c r="C17" s="488">
        <v>15214</v>
      </c>
      <c r="D17" s="488">
        <v>20000</v>
      </c>
      <c r="E17" s="494">
        <v>31100</v>
      </c>
      <c r="F17" s="163">
        <v>62770</v>
      </c>
      <c r="G17" s="490">
        <v>32506.9</v>
      </c>
      <c r="H17" s="496">
        <v>29100</v>
      </c>
      <c r="I17" s="496">
        <v>30000</v>
      </c>
      <c r="J17" s="365">
        <v>11893</v>
      </c>
      <c r="K17" s="491"/>
      <c r="L17" s="483"/>
      <c r="M17" s="484"/>
      <c r="N17" s="485">
        <f t="shared" si="0"/>
        <v>232583.9</v>
      </c>
      <c r="P17" s="734"/>
      <c r="R17" s="718"/>
      <c r="T17" s="40"/>
    </row>
    <row r="18" spans="1:20" ht="15.6" customHeight="1">
      <c r="A18" s="486" t="s">
        <v>76</v>
      </c>
      <c r="B18" s="487">
        <v>1474</v>
      </c>
      <c r="C18" s="488">
        <v>0</v>
      </c>
      <c r="D18" s="488">
        <v>0</v>
      </c>
      <c r="E18" s="494">
        <v>0</v>
      </c>
      <c r="F18" s="493">
        <v>0</v>
      </c>
      <c r="G18" s="490">
        <v>0</v>
      </c>
      <c r="H18" s="496">
        <v>120</v>
      </c>
      <c r="I18" s="496">
        <v>0</v>
      </c>
      <c r="J18" s="365">
        <v>0</v>
      </c>
      <c r="K18" s="491"/>
      <c r="L18" s="483"/>
      <c r="M18" s="484"/>
      <c r="N18" s="485">
        <f t="shared" si="0"/>
        <v>1594</v>
      </c>
      <c r="P18" s="734"/>
      <c r="R18" s="718"/>
      <c r="T18" s="40"/>
    </row>
    <row r="19" spans="1:20" ht="15.6" customHeight="1">
      <c r="A19" s="486" t="s">
        <v>77</v>
      </c>
      <c r="B19" s="487">
        <v>265</v>
      </c>
      <c r="C19" s="488">
        <v>1384</v>
      </c>
      <c r="D19" s="488">
        <v>1511</v>
      </c>
      <c r="E19" s="494">
        <v>754</v>
      </c>
      <c r="F19" s="493">
        <v>877</v>
      </c>
      <c r="G19" s="490">
        <v>1303.9000000000001</v>
      </c>
      <c r="H19" s="496">
        <v>2330.5</v>
      </c>
      <c r="I19" s="496">
        <v>966.6</v>
      </c>
      <c r="J19" s="365">
        <v>2498.8000000000002</v>
      </c>
      <c r="K19" s="491"/>
      <c r="L19" s="483"/>
      <c r="M19" s="484"/>
      <c r="N19" s="485">
        <f t="shared" si="0"/>
        <v>11890.8</v>
      </c>
      <c r="P19" s="734"/>
      <c r="R19" s="718"/>
      <c r="S19" s="682"/>
      <c r="T19" s="40"/>
    </row>
    <row r="20" spans="1:20" ht="14.45" customHeight="1">
      <c r="A20" s="495"/>
      <c r="B20" s="487"/>
      <c r="C20" s="488"/>
      <c r="D20" s="488"/>
      <c r="E20" s="494"/>
      <c r="F20" s="494"/>
      <c r="G20" s="496"/>
      <c r="H20" s="481"/>
      <c r="I20" s="163"/>
      <c r="J20" s="163"/>
      <c r="K20" s="491"/>
      <c r="L20" s="483"/>
      <c r="M20" s="484"/>
      <c r="N20" s="485"/>
    </row>
    <row r="21" spans="1:20" ht="15.6" customHeight="1">
      <c r="A21" s="497" t="s">
        <v>78</v>
      </c>
      <c r="B21" s="498">
        <f t="shared" ref="B21:J21" si="1">SUM(B5:B20)</f>
        <v>17612</v>
      </c>
      <c r="C21" s="498">
        <f t="shared" si="1"/>
        <v>40750</v>
      </c>
      <c r="D21" s="498">
        <f t="shared" si="1"/>
        <v>48357</v>
      </c>
      <c r="E21" s="498">
        <f t="shared" si="1"/>
        <v>44506</v>
      </c>
      <c r="F21" s="498">
        <f t="shared" si="1"/>
        <v>155414</v>
      </c>
      <c r="G21" s="498">
        <f t="shared" si="1"/>
        <v>138522.79999999999</v>
      </c>
      <c r="H21" s="498">
        <f t="shared" si="1"/>
        <v>106040.5</v>
      </c>
      <c r="I21" s="498">
        <f t="shared" si="1"/>
        <v>146676</v>
      </c>
      <c r="J21" s="498">
        <f t="shared" si="1"/>
        <v>81039.400000000009</v>
      </c>
      <c r="K21" s="498">
        <v>154157</v>
      </c>
      <c r="L21" s="499"/>
      <c r="M21" s="499"/>
      <c r="N21" s="485">
        <f>SUM(B21:M21)</f>
        <v>933074.70000000007</v>
      </c>
    </row>
    <row r="22" spans="1:20" ht="18.75">
      <c r="A22" s="500" t="s">
        <v>79</v>
      </c>
      <c r="B22" s="501">
        <f t="shared" ref="B22:K22" si="2">B21*1.06</f>
        <v>18668.72</v>
      </c>
      <c r="C22" s="502">
        <f t="shared" si="2"/>
        <v>43195</v>
      </c>
      <c r="D22" s="502">
        <f t="shared" si="2"/>
        <v>51258.420000000006</v>
      </c>
      <c r="E22" s="502">
        <f t="shared" si="2"/>
        <v>47176.36</v>
      </c>
      <c r="F22" s="502">
        <f t="shared" si="2"/>
        <v>164738.84</v>
      </c>
      <c r="G22" s="502">
        <f t="shared" si="2"/>
        <v>146834.16800000001</v>
      </c>
      <c r="H22" s="502">
        <f t="shared" si="2"/>
        <v>112402.93000000001</v>
      </c>
      <c r="I22" s="502">
        <f t="shared" si="2"/>
        <v>155476.56</v>
      </c>
      <c r="J22" s="502">
        <f t="shared" si="2"/>
        <v>85901.76400000001</v>
      </c>
      <c r="K22" s="502">
        <f t="shared" si="2"/>
        <v>163406.42000000001</v>
      </c>
      <c r="L22" s="502"/>
      <c r="M22" s="502"/>
      <c r="N22" s="503">
        <f>SUM(B22:M22)</f>
        <v>989059.18199999991</v>
      </c>
    </row>
    <row r="23" spans="1:20" ht="13.15" customHeight="1">
      <c r="A23" s="504"/>
      <c r="B23" s="505"/>
      <c r="C23" s="505"/>
      <c r="D23" s="505"/>
      <c r="E23" s="506"/>
      <c r="F23" s="505"/>
      <c r="G23" s="506"/>
      <c r="H23" s="505"/>
      <c r="I23" s="505"/>
      <c r="J23" s="505"/>
      <c r="K23" s="505"/>
      <c r="L23" s="505"/>
      <c r="M23" s="505"/>
      <c r="N23" s="507"/>
    </row>
    <row r="24" spans="1:20" s="509" customFormat="1" ht="15" customHeight="1">
      <c r="A24" s="804" t="s">
        <v>80</v>
      </c>
      <c r="B24" s="804"/>
      <c r="C24" s="804"/>
      <c r="D24" s="804"/>
      <c r="E24" s="804"/>
      <c r="F24" s="162"/>
      <c r="G24" s="508"/>
      <c r="H24" s="162"/>
      <c r="I24" s="162"/>
      <c r="J24" s="162"/>
      <c r="K24" s="613"/>
      <c r="L24" s="613"/>
      <c r="M24" s="162"/>
      <c r="N24" s="162"/>
    </row>
    <row r="25" spans="1:20" ht="15" customHeight="1">
      <c r="A25" s="804" t="s">
        <v>81</v>
      </c>
      <c r="B25" s="804"/>
      <c r="C25" s="804"/>
      <c r="D25" s="804"/>
      <c r="E25" s="804"/>
      <c r="F25" s="804"/>
      <c r="G25" s="804"/>
      <c r="H25" s="804"/>
      <c r="I25" s="804"/>
      <c r="J25" s="804"/>
      <c r="K25" s="804"/>
      <c r="L25" s="804"/>
      <c r="M25" s="804"/>
      <c r="N25" s="804"/>
    </row>
    <row r="26" spans="1:20" ht="14.45" customHeight="1">
      <c r="A26" s="804"/>
      <c r="B26" s="804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</row>
    <row r="27" spans="1:20" s="509" customFormat="1" ht="14.45" customHeight="1">
      <c r="A27" s="804" t="s">
        <v>82</v>
      </c>
      <c r="B27" s="804"/>
      <c r="C27" s="804"/>
      <c r="D27" s="804"/>
      <c r="E27" s="804"/>
      <c r="F27" s="804"/>
      <c r="G27" s="804"/>
      <c r="H27" s="134"/>
      <c r="I27" s="162"/>
      <c r="J27" s="162"/>
      <c r="K27" s="162"/>
      <c r="L27" s="162"/>
      <c r="M27" s="162"/>
      <c r="N27" s="510"/>
    </row>
    <row r="28" spans="1:20" s="509" customFormat="1" ht="14.25" customHeight="1">
      <c r="A28" s="804" t="s">
        <v>83</v>
      </c>
      <c r="B28" s="804"/>
      <c r="C28" s="804"/>
      <c r="D28" s="804"/>
      <c r="E28" s="162"/>
      <c r="F28" s="162"/>
      <c r="G28" s="133"/>
      <c r="H28" s="179"/>
      <c r="I28" s="613"/>
      <c r="J28" s="162"/>
      <c r="K28" s="162"/>
      <c r="L28" s="162"/>
      <c r="M28" s="162"/>
      <c r="N28" s="510"/>
    </row>
    <row r="29" spans="1:20" ht="14.25" customHeight="1">
      <c r="E29" s="394"/>
      <c r="F29" s="394"/>
      <c r="G29" s="40"/>
      <c r="H29" s="717"/>
      <c r="I29" s="682"/>
      <c r="J29" s="682"/>
      <c r="L29" s="729"/>
      <c r="N29" s="511"/>
    </row>
    <row r="30" spans="1:20">
      <c r="B30" s="394"/>
      <c r="C30" s="394"/>
      <c r="D30" s="394"/>
      <c r="E30" s="394"/>
      <c r="F30" s="394"/>
      <c r="G30" s="719"/>
      <c r="H30" s="394"/>
      <c r="J30" s="682"/>
      <c r="K30" s="682"/>
    </row>
    <row r="31" spans="1:20">
      <c r="H31" s="682"/>
      <c r="I31" s="682"/>
      <c r="K31" s="739"/>
    </row>
    <row r="32" spans="1:20">
      <c r="K32" s="682"/>
    </row>
  </sheetData>
  <mergeCells count="6">
    <mergeCell ref="A28:D28"/>
    <mergeCell ref="A1:N1"/>
    <mergeCell ref="B3:M3"/>
    <mergeCell ref="A24:E24"/>
    <mergeCell ref="A25:N26"/>
    <mergeCell ref="A27:G27"/>
  </mergeCells>
  <pageMargins left="0.5" right="0.17" top="1" bottom="0.17" header="0.3" footer="0.17"/>
  <pageSetup scale="84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W52"/>
  <sheetViews>
    <sheetView zoomScaleNormal="100" workbookViewId="0">
      <selection activeCell="X20" sqref="X20"/>
    </sheetView>
  </sheetViews>
  <sheetFormatPr defaultColWidth="8.85546875" defaultRowHeight="12.75"/>
  <cols>
    <col min="1" max="1" width="20" style="200" customWidth="1"/>
    <col min="2" max="3" width="10.7109375" style="200" customWidth="1"/>
    <col min="4" max="4" width="13.140625" style="200" customWidth="1"/>
    <col min="5" max="5" width="9.85546875" style="200" customWidth="1"/>
    <col min="6" max="6" width="9.85546875" style="38" customWidth="1"/>
    <col min="7" max="7" width="11.28515625" style="200" customWidth="1"/>
    <col min="8" max="14" width="9.140625" style="200" customWidth="1"/>
    <col min="15" max="15" width="8.7109375" style="200" customWidth="1"/>
    <col min="16" max="16" width="10.28515625" style="200" customWidth="1"/>
    <col min="17" max="17" width="10.85546875" style="200" customWidth="1"/>
    <col min="18" max="18" width="11" style="200" customWidth="1"/>
    <col min="19" max="19" width="11.140625" style="200" customWidth="1"/>
    <col min="20" max="20" width="9.7109375" style="200" customWidth="1"/>
    <col min="21" max="21" width="15" style="200" customWidth="1"/>
    <col min="22" max="16384" width="8.85546875" style="200"/>
  </cols>
  <sheetData>
    <row r="1" spans="1:23" s="19" customFormat="1" ht="24.6" customHeight="1">
      <c r="A1" s="208" t="s">
        <v>84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23" s="19" customFormat="1" ht="36.6" customHeight="1">
      <c r="A2" s="520"/>
      <c r="B2" s="813" t="s">
        <v>85</v>
      </c>
      <c r="C2" s="814"/>
      <c r="D2" s="815"/>
      <c r="E2" s="73" t="s">
        <v>86</v>
      </c>
      <c r="F2" s="73" t="s">
        <v>87</v>
      </c>
      <c r="G2" s="73" t="s">
        <v>88</v>
      </c>
      <c r="H2" s="73" t="s">
        <v>89</v>
      </c>
      <c r="I2" s="73" t="s">
        <v>90</v>
      </c>
      <c r="J2" s="73" t="s">
        <v>91</v>
      </c>
      <c r="K2" s="73" t="s">
        <v>92</v>
      </c>
      <c r="L2" s="73" t="s">
        <v>93</v>
      </c>
      <c r="M2" s="73" t="s">
        <v>94</v>
      </c>
      <c r="N2" s="73" t="s">
        <v>95</v>
      </c>
      <c r="O2" s="73" t="s">
        <v>58</v>
      </c>
      <c r="P2" s="74" t="s">
        <v>59</v>
      </c>
      <c r="Q2" s="818" t="s">
        <v>96</v>
      </c>
      <c r="R2" s="819"/>
      <c r="S2" s="819"/>
      <c r="T2" s="819"/>
      <c r="U2" s="820" t="s">
        <v>97</v>
      </c>
    </row>
    <row r="3" spans="1:23" s="201" customFormat="1" ht="45.6" customHeight="1">
      <c r="A3" s="513"/>
      <c r="B3" s="334" t="s">
        <v>98</v>
      </c>
      <c r="C3" s="514" t="s">
        <v>99</v>
      </c>
      <c r="D3" s="514" t="s">
        <v>100</v>
      </c>
      <c r="E3" s="451">
        <v>44501</v>
      </c>
      <c r="F3" s="451">
        <v>44529</v>
      </c>
      <c r="G3" s="451">
        <v>44561</v>
      </c>
      <c r="H3" s="451">
        <v>44592</v>
      </c>
      <c r="I3" s="451">
        <v>44620</v>
      </c>
      <c r="J3" s="451" t="s">
        <v>101</v>
      </c>
      <c r="K3" s="451">
        <v>44683</v>
      </c>
      <c r="L3" s="451">
        <v>44711</v>
      </c>
      <c r="M3" s="451">
        <v>44747</v>
      </c>
      <c r="N3" s="451">
        <v>44774</v>
      </c>
      <c r="O3" s="451">
        <v>44802</v>
      </c>
      <c r="P3" s="451">
        <v>44834</v>
      </c>
      <c r="Q3" s="334" t="s">
        <v>102</v>
      </c>
      <c r="R3" s="334" t="s">
        <v>103</v>
      </c>
      <c r="S3" s="334" t="s">
        <v>104</v>
      </c>
      <c r="T3" s="334" t="s">
        <v>105</v>
      </c>
      <c r="U3" s="821"/>
    </row>
    <row r="4" spans="1:23" s="19" customFormat="1" ht="21" customHeight="1">
      <c r="A4" s="521"/>
      <c r="B4" s="265"/>
      <c r="C4" s="265"/>
      <c r="D4" s="265"/>
      <c r="E4" s="816" t="s">
        <v>106</v>
      </c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522"/>
      <c r="R4" s="522"/>
      <c r="S4" s="522"/>
      <c r="T4" s="521"/>
      <c r="U4" s="523"/>
    </row>
    <row r="5" spans="1:23" s="60" customFormat="1" ht="15.75" customHeight="1">
      <c r="A5" s="534" t="s">
        <v>107</v>
      </c>
      <c r="B5" s="535">
        <v>2858</v>
      </c>
      <c r="C5" s="536"/>
      <c r="D5" s="537">
        <v>738</v>
      </c>
      <c r="E5" s="677">
        <v>18850</v>
      </c>
      <c r="F5" s="538">
        <v>16344</v>
      </c>
      <c r="G5" s="539">
        <v>0</v>
      </c>
      <c r="H5" s="538">
        <v>0</v>
      </c>
      <c r="I5" s="538">
        <v>0</v>
      </c>
      <c r="J5" s="538">
        <v>0</v>
      </c>
      <c r="K5" s="538">
        <v>1129</v>
      </c>
      <c r="L5" s="538">
        <v>0</v>
      </c>
      <c r="M5" s="538">
        <v>7749</v>
      </c>
      <c r="N5" s="539">
        <f>Q5-SUM(E5:M5)</f>
        <v>0</v>
      </c>
      <c r="O5" s="539"/>
      <c r="P5" s="538"/>
      <c r="Q5" s="540">
        <v>44072</v>
      </c>
      <c r="R5" s="541">
        <f>'Table 3B Raw  '!F4</f>
        <v>61148</v>
      </c>
      <c r="S5" s="542">
        <f>R5-Q5</f>
        <v>17076</v>
      </c>
      <c r="T5" s="542"/>
      <c r="U5" s="537">
        <f t="shared" ref="U5:U44" si="0">B5+C5+D5+Q5</f>
        <v>47668</v>
      </c>
      <c r="V5" s="735"/>
    </row>
    <row r="6" spans="1:23" s="60" customFormat="1" ht="15.75" customHeight="1">
      <c r="A6" s="534" t="s">
        <v>108</v>
      </c>
      <c r="B6" s="535"/>
      <c r="C6" s="536"/>
      <c r="D6" s="537">
        <v>3144</v>
      </c>
      <c r="E6" s="677">
        <v>65279</v>
      </c>
      <c r="F6" s="538">
        <v>0</v>
      </c>
      <c r="G6" s="539">
        <v>3498</v>
      </c>
      <c r="H6" s="538">
        <v>0</v>
      </c>
      <c r="I6" s="538">
        <v>0</v>
      </c>
      <c r="J6" s="538">
        <v>0</v>
      </c>
      <c r="K6" s="538">
        <v>0</v>
      </c>
      <c r="L6" s="538">
        <v>0</v>
      </c>
      <c r="M6" s="538">
        <v>0</v>
      </c>
      <c r="N6" s="539">
        <f t="shared" ref="N6:N44" si="1">Q6-SUM(E6:M6)</f>
        <v>0</v>
      </c>
      <c r="O6" s="539"/>
      <c r="P6" s="538"/>
      <c r="Q6" s="540">
        <v>68777</v>
      </c>
      <c r="R6" s="541">
        <f>'Table 3B Raw  '!F5</f>
        <v>118028</v>
      </c>
      <c r="S6" s="542">
        <f t="shared" ref="S6:S44" si="2">R6-Q6</f>
        <v>49251</v>
      </c>
      <c r="T6" s="542"/>
      <c r="U6" s="537">
        <f t="shared" si="0"/>
        <v>71921</v>
      </c>
      <c r="V6" s="735"/>
    </row>
    <row r="7" spans="1:23" s="60" customFormat="1" ht="15.75" customHeight="1">
      <c r="A7" s="534" t="s">
        <v>109</v>
      </c>
      <c r="B7" s="535"/>
      <c r="C7" s="536"/>
      <c r="D7" s="537"/>
      <c r="E7" s="677">
        <v>0</v>
      </c>
      <c r="F7" s="538">
        <v>0</v>
      </c>
      <c r="G7" s="539">
        <v>0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v>0</v>
      </c>
      <c r="N7" s="539">
        <f t="shared" si="1"/>
        <v>0</v>
      </c>
      <c r="O7" s="539"/>
      <c r="P7" s="538"/>
      <c r="Q7" s="540">
        <v>0</v>
      </c>
      <c r="R7" s="541">
        <f>'Table 3B Raw  '!F6</f>
        <v>9954</v>
      </c>
      <c r="S7" s="542">
        <f t="shared" si="2"/>
        <v>9954</v>
      </c>
      <c r="T7" s="542"/>
      <c r="U7" s="537">
        <f t="shared" si="0"/>
        <v>0</v>
      </c>
      <c r="V7" s="735"/>
    </row>
    <row r="8" spans="1:23" s="60" customFormat="1" ht="15.75" customHeight="1">
      <c r="A8" s="534" t="s">
        <v>110</v>
      </c>
      <c r="B8" s="535">
        <v>1193</v>
      </c>
      <c r="C8" s="536"/>
      <c r="D8" s="537"/>
      <c r="E8" s="677">
        <v>1849</v>
      </c>
      <c r="F8" s="538">
        <v>0</v>
      </c>
      <c r="G8" s="539">
        <v>0</v>
      </c>
      <c r="H8" s="538">
        <v>0</v>
      </c>
      <c r="I8" s="538">
        <v>0</v>
      </c>
      <c r="J8" s="538">
        <v>0</v>
      </c>
      <c r="K8" s="538">
        <v>0</v>
      </c>
      <c r="L8" s="538">
        <v>0</v>
      </c>
      <c r="M8" s="538">
        <v>0</v>
      </c>
      <c r="N8" s="539">
        <f t="shared" si="1"/>
        <v>0</v>
      </c>
      <c r="O8" s="539"/>
      <c r="P8" s="538"/>
      <c r="Q8" s="540">
        <v>1849</v>
      </c>
      <c r="R8" s="541">
        <f>'Table 3B Raw  '!F7</f>
        <v>15643</v>
      </c>
      <c r="S8" s="542">
        <f t="shared" si="2"/>
        <v>13794</v>
      </c>
      <c r="T8" s="542"/>
      <c r="U8" s="537">
        <f t="shared" si="0"/>
        <v>3042</v>
      </c>
      <c r="V8" s="735"/>
    </row>
    <row r="9" spans="1:23" s="60" customFormat="1" ht="15.75" customHeight="1">
      <c r="A9" s="534" t="s">
        <v>111</v>
      </c>
      <c r="B9" s="535"/>
      <c r="C9" s="536">
        <v>785</v>
      </c>
      <c r="D9" s="537"/>
      <c r="E9" s="677">
        <v>0</v>
      </c>
      <c r="F9" s="538">
        <v>0</v>
      </c>
      <c r="G9" s="539">
        <v>0</v>
      </c>
      <c r="H9" s="538">
        <v>0</v>
      </c>
      <c r="I9" s="538">
        <v>0</v>
      </c>
      <c r="J9" s="538">
        <v>0</v>
      </c>
      <c r="K9" s="538">
        <v>0</v>
      </c>
      <c r="L9" s="538">
        <v>0</v>
      </c>
      <c r="M9" s="538">
        <v>0</v>
      </c>
      <c r="N9" s="539">
        <f t="shared" si="1"/>
        <v>0</v>
      </c>
      <c r="O9" s="539"/>
      <c r="P9" s="538"/>
      <c r="Q9" s="540">
        <v>0</v>
      </c>
      <c r="R9" s="541">
        <f>'Table 3B Raw  '!F8</f>
        <v>11375</v>
      </c>
      <c r="S9" s="542">
        <f t="shared" si="2"/>
        <v>11375</v>
      </c>
      <c r="T9" s="542"/>
      <c r="U9" s="537">
        <f t="shared" si="0"/>
        <v>785</v>
      </c>
      <c r="V9" s="735"/>
    </row>
    <row r="10" spans="1:23" s="188" customFormat="1" ht="15.75" customHeight="1">
      <c r="A10" s="189" t="s">
        <v>112</v>
      </c>
      <c r="B10" s="543">
        <v>15648</v>
      </c>
      <c r="C10" s="544"/>
      <c r="D10" s="545">
        <v>5482</v>
      </c>
      <c r="E10" s="552">
        <v>17583</v>
      </c>
      <c r="F10" s="546">
        <v>80609</v>
      </c>
      <c r="G10" s="547">
        <v>54140</v>
      </c>
      <c r="H10" s="538">
        <v>0</v>
      </c>
      <c r="I10" s="538">
        <v>0</v>
      </c>
      <c r="J10" s="538">
        <v>0</v>
      </c>
      <c r="K10" s="538">
        <v>0</v>
      </c>
      <c r="L10" s="538">
        <v>0</v>
      </c>
      <c r="M10" s="538">
        <v>6533</v>
      </c>
      <c r="N10" s="539">
        <f t="shared" si="1"/>
        <v>0</v>
      </c>
      <c r="O10" s="547"/>
      <c r="P10" s="546"/>
      <c r="Q10" s="548">
        <v>158865</v>
      </c>
      <c r="R10" s="549">
        <f>'Table 3B Raw  '!F9</f>
        <v>206193</v>
      </c>
      <c r="S10" s="550">
        <f t="shared" si="2"/>
        <v>47328</v>
      </c>
      <c r="T10" s="550"/>
      <c r="U10" s="537">
        <f t="shared" si="0"/>
        <v>179995</v>
      </c>
      <c r="V10" s="735"/>
      <c r="W10" s="568"/>
    </row>
    <row r="11" spans="1:23" s="188" customFormat="1" ht="15.75" customHeight="1">
      <c r="A11" s="189" t="s">
        <v>113</v>
      </c>
      <c r="B11" s="543">
        <v>2259</v>
      </c>
      <c r="C11" s="544">
        <v>587</v>
      </c>
      <c r="D11" s="545">
        <v>903</v>
      </c>
      <c r="E11" s="552">
        <v>262</v>
      </c>
      <c r="F11" s="546">
        <v>205</v>
      </c>
      <c r="G11" s="547">
        <v>952</v>
      </c>
      <c r="H11" s="538">
        <v>1623</v>
      </c>
      <c r="I11" s="538">
        <v>669</v>
      </c>
      <c r="J11" s="538">
        <v>3306</v>
      </c>
      <c r="K11" s="538">
        <v>2747</v>
      </c>
      <c r="L11" s="538">
        <v>2512</v>
      </c>
      <c r="M11" s="538">
        <v>2540</v>
      </c>
      <c r="N11" s="539">
        <f t="shared" si="1"/>
        <v>2117</v>
      </c>
      <c r="O11" s="547"/>
      <c r="P11" s="546"/>
      <c r="Q11" s="548">
        <v>16933</v>
      </c>
      <c r="R11" s="549">
        <f>'Table 3B Raw  '!F10</f>
        <v>34128</v>
      </c>
      <c r="S11" s="550">
        <f t="shared" si="2"/>
        <v>17195</v>
      </c>
      <c r="T11" s="550"/>
      <c r="U11" s="537">
        <f t="shared" si="0"/>
        <v>20682</v>
      </c>
      <c r="V11" s="735"/>
      <c r="W11" s="747"/>
    </row>
    <row r="12" spans="1:23" s="188" customFormat="1" ht="15.75" customHeight="1">
      <c r="A12" s="189" t="s">
        <v>114</v>
      </c>
      <c r="B12" s="543"/>
      <c r="C12" s="544"/>
      <c r="D12" s="545"/>
      <c r="E12" s="552">
        <v>0</v>
      </c>
      <c r="F12" s="546">
        <v>0</v>
      </c>
      <c r="G12" s="547">
        <v>0</v>
      </c>
      <c r="H12" s="538">
        <v>0</v>
      </c>
      <c r="I12" s="538">
        <v>0</v>
      </c>
      <c r="J12" s="538">
        <v>0</v>
      </c>
      <c r="K12" s="538">
        <v>0</v>
      </c>
      <c r="L12" s="538">
        <v>0</v>
      </c>
      <c r="M12" s="538">
        <v>0</v>
      </c>
      <c r="N12" s="539">
        <f t="shared" si="1"/>
        <v>0</v>
      </c>
      <c r="O12" s="547"/>
      <c r="P12" s="546"/>
      <c r="Q12" s="548">
        <v>0</v>
      </c>
      <c r="R12" s="549">
        <f>'Table 3B Raw  '!F11</f>
        <v>0</v>
      </c>
      <c r="S12" s="550">
        <f t="shared" si="2"/>
        <v>0</v>
      </c>
      <c r="T12" s="550"/>
      <c r="U12" s="537">
        <f t="shared" si="0"/>
        <v>0</v>
      </c>
      <c r="V12" s="735"/>
      <c r="W12" s="568"/>
    </row>
    <row r="13" spans="1:23" s="188" customFormat="1" ht="15.75" customHeight="1">
      <c r="A13" s="189" t="s">
        <v>115</v>
      </c>
      <c r="B13" s="543">
        <v>2981</v>
      </c>
      <c r="C13" s="544">
        <v>568</v>
      </c>
      <c r="D13" s="545"/>
      <c r="E13" s="552">
        <v>15796</v>
      </c>
      <c r="F13" s="546">
        <v>0</v>
      </c>
      <c r="G13" s="547">
        <v>0</v>
      </c>
      <c r="H13" s="538">
        <v>0</v>
      </c>
      <c r="I13" s="538">
        <v>0</v>
      </c>
      <c r="J13" s="538">
        <v>0</v>
      </c>
      <c r="K13" s="538">
        <v>0</v>
      </c>
      <c r="L13" s="538">
        <v>0</v>
      </c>
      <c r="M13" s="538">
        <v>0</v>
      </c>
      <c r="N13" s="539">
        <f t="shared" si="1"/>
        <v>0</v>
      </c>
      <c r="O13" s="547"/>
      <c r="P13" s="546"/>
      <c r="Q13" s="548">
        <v>15796</v>
      </c>
      <c r="R13" s="549">
        <f>'Table 3B Raw  '!F12</f>
        <v>21330</v>
      </c>
      <c r="S13" s="550">
        <f t="shared" si="2"/>
        <v>5534</v>
      </c>
      <c r="T13" s="550"/>
      <c r="U13" s="537">
        <f t="shared" si="0"/>
        <v>19345</v>
      </c>
      <c r="V13" s="735"/>
    </row>
    <row r="14" spans="1:23" s="188" customFormat="1" ht="15.75" customHeight="1">
      <c r="A14" s="189" t="s">
        <v>116</v>
      </c>
      <c r="B14" s="543"/>
      <c r="C14" s="544"/>
      <c r="D14" s="545"/>
      <c r="E14" s="552">
        <v>0</v>
      </c>
      <c r="F14" s="546">
        <v>0</v>
      </c>
      <c r="G14" s="547">
        <v>0</v>
      </c>
      <c r="H14" s="538">
        <v>0</v>
      </c>
      <c r="I14" s="538">
        <v>0</v>
      </c>
      <c r="J14" s="538">
        <v>0</v>
      </c>
      <c r="K14" s="538">
        <v>0</v>
      </c>
      <c r="L14" s="538">
        <v>0</v>
      </c>
      <c r="M14" s="538">
        <v>0</v>
      </c>
      <c r="N14" s="539">
        <f t="shared" si="1"/>
        <v>0</v>
      </c>
      <c r="O14" s="547"/>
      <c r="P14" s="546"/>
      <c r="Q14" s="551">
        <v>0</v>
      </c>
      <c r="R14" s="549">
        <f>'Table 3B Raw  '!F13</f>
        <v>0</v>
      </c>
      <c r="S14" s="550">
        <f t="shared" si="2"/>
        <v>0</v>
      </c>
      <c r="T14" s="550"/>
      <c r="U14" s="537">
        <f t="shared" si="0"/>
        <v>0</v>
      </c>
      <c r="V14" s="735"/>
    </row>
    <row r="15" spans="1:23" s="188" customFormat="1" ht="15.75" customHeight="1">
      <c r="A15" s="189" t="s">
        <v>117</v>
      </c>
      <c r="B15" s="543">
        <v>12444</v>
      </c>
      <c r="C15" s="544"/>
      <c r="D15" s="545"/>
      <c r="E15" s="552">
        <v>0</v>
      </c>
      <c r="F15" s="546">
        <v>0</v>
      </c>
      <c r="G15" s="547">
        <v>0</v>
      </c>
      <c r="H15" s="538">
        <v>7259</v>
      </c>
      <c r="I15" s="538">
        <v>67885</v>
      </c>
      <c r="J15" s="538">
        <v>7631</v>
      </c>
      <c r="K15" s="538">
        <v>16139</v>
      </c>
      <c r="L15" s="538">
        <v>27730</v>
      </c>
      <c r="M15" s="538">
        <v>501</v>
      </c>
      <c r="N15" s="539">
        <f t="shared" si="1"/>
        <v>15575</v>
      </c>
      <c r="O15" s="547"/>
      <c r="P15" s="546"/>
      <c r="Q15" s="553">
        <v>142720</v>
      </c>
      <c r="R15" s="549">
        <f>'Table 3B Raw  '!F14</f>
        <v>245144</v>
      </c>
      <c r="S15" s="550">
        <f t="shared" si="2"/>
        <v>102424</v>
      </c>
      <c r="T15" s="550"/>
      <c r="U15" s="537">
        <f t="shared" si="0"/>
        <v>155164</v>
      </c>
      <c r="V15" s="735"/>
    </row>
    <row r="16" spans="1:23" s="188" customFormat="1" ht="15.75" customHeight="1">
      <c r="A16" s="189" t="s">
        <v>118</v>
      </c>
      <c r="B16" s="543">
        <v>2264</v>
      </c>
      <c r="C16" s="544"/>
      <c r="D16" s="545"/>
      <c r="E16" s="552">
        <v>10081</v>
      </c>
      <c r="F16" s="546">
        <v>0</v>
      </c>
      <c r="G16" s="547">
        <v>0</v>
      </c>
      <c r="H16" s="538">
        <v>0</v>
      </c>
      <c r="I16" s="538">
        <v>0</v>
      </c>
      <c r="J16" s="538">
        <v>3</v>
      </c>
      <c r="K16" s="538">
        <v>0</v>
      </c>
      <c r="L16" s="538">
        <v>0</v>
      </c>
      <c r="M16" s="538">
        <v>0</v>
      </c>
      <c r="N16" s="539">
        <f t="shared" si="1"/>
        <v>1472</v>
      </c>
      <c r="O16" s="547"/>
      <c r="P16" s="546"/>
      <c r="Q16" s="548">
        <v>11556</v>
      </c>
      <c r="R16" s="549">
        <f>'Table 3B Raw  '!F15</f>
        <v>15643</v>
      </c>
      <c r="S16" s="550">
        <f t="shared" si="2"/>
        <v>4087</v>
      </c>
      <c r="T16" s="550"/>
      <c r="U16" s="537">
        <f t="shared" si="0"/>
        <v>13820</v>
      </c>
      <c r="V16" s="735"/>
    </row>
    <row r="17" spans="1:22" s="188" customFormat="1" ht="15.75" customHeight="1">
      <c r="A17" s="189" t="s">
        <v>119</v>
      </c>
      <c r="B17" s="543"/>
      <c r="C17" s="544"/>
      <c r="D17" s="545">
        <v>3804</v>
      </c>
      <c r="E17" s="552">
        <v>0</v>
      </c>
      <c r="F17" s="546">
        <v>0</v>
      </c>
      <c r="G17" s="547">
        <v>0</v>
      </c>
      <c r="H17" s="538">
        <v>0</v>
      </c>
      <c r="I17" s="538">
        <v>12257</v>
      </c>
      <c r="J17" s="538">
        <v>15122</v>
      </c>
      <c r="K17" s="538">
        <v>0</v>
      </c>
      <c r="L17" s="538">
        <v>942</v>
      </c>
      <c r="M17" s="538">
        <v>3713</v>
      </c>
      <c r="N17" s="539">
        <f t="shared" si="1"/>
        <v>2955</v>
      </c>
      <c r="O17" s="547"/>
      <c r="P17" s="546"/>
      <c r="Q17" s="548">
        <v>34989</v>
      </c>
      <c r="R17" s="549">
        <f>'Table 3B Raw  '!F16</f>
        <v>36972</v>
      </c>
      <c r="S17" s="550">
        <f t="shared" si="2"/>
        <v>1983</v>
      </c>
      <c r="T17" s="550"/>
      <c r="U17" s="537">
        <f t="shared" si="0"/>
        <v>38793</v>
      </c>
      <c r="V17" s="735"/>
    </row>
    <row r="18" spans="1:22" s="188" customFormat="1" ht="15.75" customHeight="1">
      <c r="A18" s="189" t="s">
        <v>120</v>
      </c>
      <c r="B18" s="543">
        <v>3209</v>
      </c>
      <c r="C18" s="544">
        <v>606</v>
      </c>
      <c r="D18" s="545"/>
      <c r="E18" s="556">
        <v>16849</v>
      </c>
      <c r="F18" s="546">
        <v>0</v>
      </c>
      <c r="G18" s="547">
        <v>0</v>
      </c>
      <c r="H18" s="538">
        <v>0</v>
      </c>
      <c r="I18" s="538">
        <v>0</v>
      </c>
      <c r="J18" s="538">
        <v>0</v>
      </c>
      <c r="K18" s="538">
        <v>0</v>
      </c>
      <c r="L18" s="538">
        <v>0</v>
      </c>
      <c r="M18" s="538">
        <v>0</v>
      </c>
      <c r="N18" s="539">
        <f t="shared" si="1"/>
        <v>0</v>
      </c>
      <c r="O18" s="547"/>
      <c r="P18" s="546"/>
      <c r="Q18" s="548">
        <v>16849</v>
      </c>
      <c r="R18" s="549">
        <f>'Table 3B Raw  '!F17</f>
        <v>22753</v>
      </c>
      <c r="S18" s="550">
        <f t="shared" si="2"/>
        <v>5904</v>
      </c>
      <c r="T18" s="550"/>
      <c r="U18" s="537">
        <f t="shared" si="0"/>
        <v>20664</v>
      </c>
      <c r="V18" s="735"/>
    </row>
    <row r="19" spans="1:22" s="188" customFormat="1" ht="15.75" customHeight="1">
      <c r="A19" s="189" t="s">
        <v>121</v>
      </c>
      <c r="B19" s="543">
        <v>1482</v>
      </c>
      <c r="C19" s="544"/>
      <c r="D19" s="545"/>
      <c r="E19" s="556">
        <v>9477</v>
      </c>
      <c r="F19" s="546">
        <v>0</v>
      </c>
      <c r="G19" s="547">
        <v>0</v>
      </c>
      <c r="H19" s="538">
        <v>0</v>
      </c>
      <c r="I19" s="538">
        <v>0</v>
      </c>
      <c r="J19" s="538">
        <v>0</v>
      </c>
      <c r="K19" s="538">
        <v>0</v>
      </c>
      <c r="L19" s="538">
        <v>0</v>
      </c>
      <c r="M19" s="538">
        <v>0</v>
      </c>
      <c r="N19" s="539">
        <f t="shared" si="1"/>
        <v>0</v>
      </c>
      <c r="O19" s="547"/>
      <c r="P19" s="546"/>
      <c r="Q19" s="548">
        <v>9477</v>
      </c>
      <c r="R19" s="549">
        <f>'Table 3B Raw  '!F18</f>
        <v>12798</v>
      </c>
      <c r="S19" s="550">
        <f t="shared" si="2"/>
        <v>3321</v>
      </c>
      <c r="T19" s="550"/>
      <c r="U19" s="537">
        <f t="shared" si="0"/>
        <v>10959</v>
      </c>
      <c r="V19" s="735"/>
    </row>
    <row r="20" spans="1:22" s="188" customFormat="1" ht="15.75" customHeight="1">
      <c r="A20" s="189" t="s">
        <v>122</v>
      </c>
      <c r="B20" s="543"/>
      <c r="C20" s="544"/>
      <c r="D20" s="545"/>
      <c r="E20" s="552">
        <v>0</v>
      </c>
      <c r="F20" s="546">
        <v>0</v>
      </c>
      <c r="G20" s="547">
        <v>0</v>
      </c>
      <c r="H20" s="538">
        <v>0</v>
      </c>
      <c r="I20" s="538">
        <v>0</v>
      </c>
      <c r="J20" s="538">
        <v>0</v>
      </c>
      <c r="K20" s="538">
        <v>0</v>
      </c>
      <c r="L20" s="538">
        <v>0</v>
      </c>
      <c r="M20" s="538">
        <v>0</v>
      </c>
      <c r="N20" s="539">
        <f t="shared" si="1"/>
        <v>0</v>
      </c>
      <c r="O20" s="547"/>
      <c r="P20" s="546"/>
      <c r="Q20" s="548">
        <v>0</v>
      </c>
      <c r="R20" s="549">
        <f>'Table 3B Raw  '!F19</f>
        <v>0</v>
      </c>
      <c r="S20" s="550">
        <f t="shared" si="2"/>
        <v>0</v>
      </c>
      <c r="T20" s="550"/>
      <c r="U20" s="537">
        <f t="shared" si="0"/>
        <v>0</v>
      </c>
      <c r="V20" s="735"/>
    </row>
    <row r="21" spans="1:22" s="188" customFormat="1" ht="15.75" customHeight="1">
      <c r="A21" s="189" t="s">
        <v>123</v>
      </c>
      <c r="B21" s="543"/>
      <c r="C21" s="544"/>
      <c r="D21" s="545">
        <v>1177</v>
      </c>
      <c r="E21" s="556">
        <v>12424</v>
      </c>
      <c r="F21" s="546">
        <v>0</v>
      </c>
      <c r="G21" s="547">
        <v>11112</v>
      </c>
      <c r="H21" s="538">
        <v>264</v>
      </c>
      <c r="I21" s="538">
        <v>0</v>
      </c>
      <c r="J21" s="538">
        <v>0</v>
      </c>
      <c r="K21" s="538">
        <v>24531</v>
      </c>
      <c r="L21" s="538">
        <v>22</v>
      </c>
      <c r="M21" s="538">
        <v>13959</v>
      </c>
      <c r="N21" s="539">
        <f t="shared" si="1"/>
        <v>0</v>
      </c>
      <c r="O21" s="547"/>
      <c r="P21" s="546"/>
      <c r="Q21" s="548">
        <v>62312</v>
      </c>
      <c r="R21" s="549">
        <f>'Table 3B Raw  '!F20</f>
        <v>68257</v>
      </c>
      <c r="S21" s="550">
        <f t="shared" si="2"/>
        <v>5945</v>
      </c>
      <c r="T21" s="550"/>
      <c r="U21" s="537">
        <f t="shared" si="0"/>
        <v>63489</v>
      </c>
      <c r="V21" s="735"/>
    </row>
    <row r="22" spans="1:22" s="188" customFormat="1" ht="15.75" customHeight="1">
      <c r="A22" s="189" t="s">
        <v>124</v>
      </c>
      <c r="B22" s="543"/>
      <c r="C22" s="544"/>
      <c r="D22" s="545"/>
      <c r="E22" s="552">
        <v>0</v>
      </c>
      <c r="F22" s="546">
        <v>0</v>
      </c>
      <c r="G22" s="547">
        <v>0</v>
      </c>
      <c r="H22" s="538">
        <v>0</v>
      </c>
      <c r="I22" s="538">
        <v>0</v>
      </c>
      <c r="J22" s="538">
        <v>0</v>
      </c>
      <c r="K22" s="538">
        <v>0</v>
      </c>
      <c r="L22" s="538">
        <v>0</v>
      </c>
      <c r="M22" s="538">
        <v>6369</v>
      </c>
      <c r="N22" s="539">
        <f t="shared" si="1"/>
        <v>0</v>
      </c>
      <c r="O22" s="547"/>
      <c r="P22" s="546"/>
      <c r="Q22" s="553">
        <v>6369</v>
      </c>
      <c r="R22" s="549">
        <f>'Table 3B Raw  '!F21</f>
        <v>17064</v>
      </c>
      <c r="S22" s="550">
        <f t="shared" si="2"/>
        <v>10695</v>
      </c>
      <c r="T22" s="550"/>
      <c r="U22" s="537">
        <f t="shared" si="0"/>
        <v>6369</v>
      </c>
      <c r="V22" s="735"/>
    </row>
    <row r="23" spans="1:22" s="188" customFormat="1" ht="15.75" customHeight="1">
      <c r="A23" s="189" t="s">
        <v>125</v>
      </c>
      <c r="B23" s="543"/>
      <c r="C23" s="544"/>
      <c r="D23" s="545"/>
      <c r="E23" s="552">
        <v>0</v>
      </c>
      <c r="F23" s="546">
        <v>0</v>
      </c>
      <c r="G23" s="547">
        <v>0</v>
      </c>
      <c r="H23" s="538">
        <v>0</v>
      </c>
      <c r="I23" s="538">
        <v>0</v>
      </c>
      <c r="J23" s="538">
        <v>0</v>
      </c>
      <c r="K23" s="538">
        <v>0</v>
      </c>
      <c r="L23" s="538">
        <v>0</v>
      </c>
      <c r="M23" s="538">
        <v>0</v>
      </c>
      <c r="N23" s="539">
        <f t="shared" si="1"/>
        <v>0</v>
      </c>
      <c r="O23" s="547"/>
      <c r="P23" s="546"/>
      <c r="Q23" s="551">
        <v>0</v>
      </c>
      <c r="R23" s="549">
        <f>'Table 3B Raw  '!F22</f>
        <v>0</v>
      </c>
      <c r="S23" s="550">
        <f t="shared" si="2"/>
        <v>0</v>
      </c>
      <c r="T23" s="550"/>
      <c r="U23" s="537">
        <f t="shared" si="0"/>
        <v>0</v>
      </c>
      <c r="V23" s="735"/>
    </row>
    <row r="24" spans="1:22" s="188" customFormat="1" ht="15.75" customHeight="1">
      <c r="A24" s="189" t="s">
        <v>126</v>
      </c>
      <c r="B24" s="543"/>
      <c r="C24" s="544"/>
      <c r="D24" s="545"/>
      <c r="E24" s="552">
        <v>0</v>
      </c>
      <c r="F24" s="546">
        <v>0</v>
      </c>
      <c r="G24" s="547">
        <v>0</v>
      </c>
      <c r="H24" s="538">
        <v>0</v>
      </c>
      <c r="I24" s="538">
        <v>0</v>
      </c>
      <c r="J24" s="538">
        <v>0</v>
      </c>
      <c r="K24" s="538">
        <v>0</v>
      </c>
      <c r="L24" s="538">
        <v>13094</v>
      </c>
      <c r="M24" s="538">
        <v>0</v>
      </c>
      <c r="N24" s="539">
        <f t="shared" si="1"/>
        <v>0</v>
      </c>
      <c r="O24" s="547"/>
      <c r="P24" s="546"/>
      <c r="Q24" s="553">
        <v>13094</v>
      </c>
      <c r="R24" s="549">
        <f>'Table 3B Raw  '!F23</f>
        <v>14220</v>
      </c>
      <c r="S24" s="550">
        <f t="shared" si="2"/>
        <v>1126</v>
      </c>
      <c r="T24" s="550"/>
      <c r="U24" s="537">
        <f t="shared" si="0"/>
        <v>13094</v>
      </c>
      <c r="V24" s="735"/>
    </row>
    <row r="25" spans="1:22" s="188" customFormat="1" ht="15.75" customHeight="1">
      <c r="A25" s="189" t="s">
        <v>127</v>
      </c>
      <c r="B25" s="543">
        <v>224</v>
      </c>
      <c r="C25" s="544"/>
      <c r="D25" s="545"/>
      <c r="E25" s="552">
        <v>113</v>
      </c>
      <c r="F25" s="546">
        <v>0</v>
      </c>
      <c r="G25" s="547">
        <v>0</v>
      </c>
      <c r="H25" s="538">
        <v>0</v>
      </c>
      <c r="I25" s="538">
        <v>0</v>
      </c>
      <c r="J25" s="538">
        <v>0</v>
      </c>
      <c r="K25" s="538">
        <v>0</v>
      </c>
      <c r="L25" s="538">
        <v>5215</v>
      </c>
      <c r="M25" s="538">
        <v>0</v>
      </c>
      <c r="N25" s="539">
        <f t="shared" si="1"/>
        <v>0</v>
      </c>
      <c r="O25" s="547"/>
      <c r="P25" s="546"/>
      <c r="Q25" s="548">
        <v>5328</v>
      </c>
      <c r="R25" s="549">
        <f>'Table 3B Raw  '!F24</f>
        <v>11375</v>
      </c>
      <c r="S25" s="550">
        <f t="shared" si="2"/>
        <v>6047</v>
      </c>
      <c r="T25" s="550"/>
      <c r="U25" s="537">
        <f t="shared" si="0"/>
        <v>5552</v>
      </c>
      <c r="V25" s="735"/>
    </row>
    <row r="26" spans="1:22" s="188" customFormat="1" ht="15.75" customHeight="1">
      <c r="A26" s="189" t="s">
        <v>128</v>
      </c>
      <c r="B26" s="543"/>
      <c r="C26" s="544"/>
      <c r="D26" s="545"/>
      <c r="E26" s="552">
        <v>0</v>
      </c>
      <c r="F26" s="546">
        <v>0</v>
      </c>
      <c r="G26" s="547">
        <v>0</v>
      </c>
      <c r="H26" s="538">
        <v>0</v>
      </c>
      <c r="I26" s="538">
        <v>0</v>
      </c>
      <c r="J26" s="538">
        <v>0</v>
      </c>
      <c r="K26" s="538">
        <v>0</v>
      </c>
      <c r="L26" s="538">
        <v>0</v>
      </c>
      <c r="M26" s="538">
        <v>0</v>
      </c>
      <c r="N26" s="539">
        <f t="shared" si="1"/>
        <v>0</v>
      </c>
      <c r="O26" s="547"/>
      <c r="P26" s="546"/>
      <c r="Q26" s="551">
        <v>0</v>
      </c>
      <c r="R26" s="549">
        <f>'Table 3B Raw  '!F25</f>
        <v>11584</v>
      </c>
      <c r="S26" s="550">
        <f t="shared" si="2"/>
        <v>11584</v>
      </c>
      <c r="T26" s="550"/>
      <c r="U26" s="537">
        <f t="shared" si="0"/>
        <v>0</v>
      </c>
      <c r="V26" s="735"/>
    </row>
    <row r="27" spans="1:22" s="188" customFormat="1" ht="15.75" customHeight="1">
      <c r="A27" s="189" t="s">
        <v>129</v>
      </c>
      <c r="B27" s="543"/>
      <c r="C27" s="544"/>
      <c r="D27" s="545"/>
      <c r="E27" s="552">
        <v>0</v>
      </c>
      <c r="F27" s="546">
        <v>0</v>
      </c>
      <c r="G27" s="547">
        <v>0</v>
      </c>
      <c r="H27" s="538">
        <v>0</v>
      </c>
      <c r="I27" s="538">
        <v>0</v>
      </c>
      <c r="J27" s="538">
        <v>0</v>
      </c>
      <c r="K27" s="538">
        <v>0</v>
      </c>
      <c r="L27" s="538">
        <v>0</v>
      </c>
      <c r="M27" s="538">
        <v>0</v>
      </c>
      <c r="N27" s="539">
        <f t="shared" si="1"/>
        <v>0</v>
      </c>
      <c r="O27" s="547"/>
      <c r="P27" s="546"/>
      <c r="Q27" s="551">
        <v>0</v>
      </c>
      <c r="R27" s="549">
        <f>'Table 3B Raw  '!F26</f>
        <v>0</v>
      </c>
      <c r="S27" s="550">
        <f t="shared" si="2"/>
        <v>0</v>
      </c>
      <c r="T27" s="550"/>
      <c r="U27" s="537">
        <f t="shared" si="0"/>
        <v>0</v>
      </c>
      <c r="V27" s="735"/>
    </row>
    <row r="28" spans="1:22" s="188" customFormat="1" ht="15.75" customHeight="1">
      <c r="A28" s="189" t="s">
        <v>130</v>
      </c>
      <c r="B28" s="543"/>
      <c r="C28" s="544">
        <v>611</v>
      </c>
      <c r="D28" s="545">
        <v>42</v>
      </c>
      <c r="E28" s="552">
        <v>0</v>
      </c>
      <c r="F28" s="546">
        <v>0</v>
      </c>
      <c r="G28" s="547">
        <v>0</v>
      </c>
      <c r="H28" s="538">
        <v>421</v>
      </c>
      <c r="I28" s="538">
        <v>506</v>
      </c>
      <c r="J28" s="538">
        <v>1020</v>
      </c>
      <c r="K28" s="538">
        <v>398</v>
      </c>
      <c r="L28" s="538">
        <v>313</v>
      </c>
      <c r="M28" s="538">
        <v>90</v>
      </c>
      <c r="N28" s="539">
        <f t="shared" si="1"/>
        <v>116</v>
      </c>
      <c r="O28" s="547"/>
      <c r="P28" s="546"/>
      <c r="Q28" s="553">
        <v>2864</v>
      </c>
      <c r="R28" s="549">
        <f>'Table 3B Raw  '!F27</f>
        <v>14220</v>
      </c>
      <c r="S28" s="550">
        <f t="shared" si="2"/>
        <v>11356</v>
      </c>
      <c r="T28" s="550"/>
      <c r="U28" s="537">
        <f t="shared" si="0"/>
        <v>3517</v>
      </c>
      <c r="V28" s="735"/>
    </row>
    <row r="29" spans="1:22" s="188" customFormat="1" ht="15.75" customHeight="1">
      <c r="A29" s="189" t="s">
        <v>131</v>
      </c>
      <c r="B29" s="543">
        <v>25</v>
      </c>
      <c r="C29" s="544">
        <v>941</v>
      </c>
      <c r="D29" s="545">
        <v>409</v>
      </c>
      <c r="E29" s="552">
        <v>0</v>
      </c>
      <c r="F29" s="546">
        <v>0</v>
      </c>
      <c r="G29" s="547">
        <v>0</v>
      </c>
      <c r="H29" s="538">
        <v>465</v>
      </c>
      <c r="I29" s="538">
        <v>514</v>
      </c>
      <c r="J29" s="538">
        <v>46</v>
      </c>
      <c r="K29" s="538">
        <v>330</v>
      </c>
      <c r="L29" s="538">
        <v>142</v>
      </c>
      <c r="M29" s="538">
        <v>594</v>
      </c>
      <c r="N29" s="539">
        <f t="shared" si="1"/>
        <v>648</v>
      </c>
      <c r="O29" s="547"/>
      <c r="P29" s="546"/>
      <c r="Q29" s="548">
        <v>2739</v>
      </c>
      <c r="R29" s="549">
        <f>'Table 3B Raw  '!F28</f>
        <v>17064</v>
      </c>
      <c r="S29" s="550">
        <f t="shared" si="2"/>
        <v>14325</v>
      </c>
      <c r="T29" s="550"/>
      <c r="U29" s="537">
        <f t="shared" si="0"/>
        <v>4114</v>
      </c>
      <c r="V29" s="735"/>
    </row>
    <row r="30" spans="1:22" s="188" customFormat="1" ht="12.6" customHeight="1">
      <c r="A30" s="189" t="s">
        <v>132</v>
      </c>
      <c r="B30" s="543"/>
      <c r="C30" s="544"/>
      <c r="D30" s="545"/>
      <c r="E30" s="552">
        <v>0</v>
      </c>
      <c r="F30" s="546">
        <v>0</v>
      </c>
      <c r="G30" s="547">
        <v>0</v>
      </c>
      <c r="H30" s="538">
        <v>0</v>
      </c>
      <c r="I30" s="538">
        <v>0</v>
      </c>
      <c r="J30" s="538">
        <v>0</v>
      </c>
      <c r="K30" s="538">
        <v>0</v>
      </c>
      <c r="L30" s="538">
        <v>0</v>
      </c>
      <c r="M30" s="538">
        <v>0</v>
      </c>
      <c r="N30" s="539">
        <f t="shared" si="1"/>
        <v>0</v>
      </c>
      <c r="O30" s="547"/>
      <c r="P30" s="546"/>
      <c r="Q30" s="189">
        <v>0</v>
      </c>
      <c r="R30" s="549">
        <f>'Table 3B Raw  '!F29</f>
        <v>7258</v>
      </c>
      <c r="S30" s="550">
        <f t="shared" si="2"/>
        <v>7258</v>
      </c>
      <c r="T30" s="550"/>
      <c r="U30" s="537">
        <f t="shared" si="0"/>
        <v>0</v>
      </c>
      <c r="V30" s="735"/>
    </row>
    <row r="31" spans="1:22" s="188" customFormat="1" ht="15.75" customHeight="1">
      <c r="A31" s="189" t="s">
        <v>133</v>
      </c>
      <c r="B31" s="543"/>
      <c r="C31" s="544"/>
      <c r="D31" s="545"/>
      <c r="E31" s="556">
        <v>12280</v>
      </c>
      <c r="F31" s="546">
        <v>0</v>
      </c>
      <c r="G31" s="547">
        <v>0</v>
      </c>
      <c r="H31" s="538">
        <v>0</v>
      </c>
      <c r="I31" s="538">
        <v>0</v>
      </c>
      <c r="J31" s="538">
        <v>0</v>
      </c>
      <c r="K31" s="538">
        <v>0</v>
      </c>
      <c r="L31" s="538">
        <v>0</v>
      </c>
      <c r="M31" s="538">
        <v>0</v>
      </c>
      <c r="N31" s="539">
        <f t="shared" si="1"/>
        <v>0</v>
      </c>
      <c r="O31" s="547"/>
      <c r="P31" s="546"/>
      <c r="Q31" s="548">
        <v>12280</v>
      </c>
      <c r="R31" s="549">
        <f>'Table 3B Raw  '!F30</f>
        <v>18487</v>
      </c>
      <c r="S31" s="550">
        <f t="shared" si="2"/>
        <v>6207</v>
      </c>
      <c r="T31" s="550"/>
      <c r="U31" s="537">
        <f t="shared" si="0"/>
        <v>12280</v>
      </c>
      <c r="V31" s="735"/>
    </row>
    <row r="32" spans="1:22" s="188" customFormat="1" ht="15.75" customHeight="1">
      <c r="A32" s="189" t="s">
        <v>134</v>
      </c>
      <c r="B32" s="543"/>
      <c r="C32" s="544"/>
      <c r="D32" s="545">
        <v>796</v>
      </c>
      <c r="E32" s="552">
        <v>0</v>
      </c>
      <c r="F32" s="546">
        <v>7965</v>
      </c>
      <c r="G32" s="547">
        <v>14148</v>
      </c>
      <c r="H32" s="538">
        <v>0</v>
      </c>
      <c r="I32" s="538">
        <v>0</v>
      </c>
      <c r="J32" s="538">
        <v>0</v>
      </c>
      <c r="K32" s="538">
        <v>0</v>
      </c>
      <c r="L32" s="538">
        <v>0</v>
      </c>
      <c r="M32" s="538">
        <v>0</v>
      </c>
      <c r="N32" s="539">
        <f t="shared" si="1"/>
        <v>0</v>
      </c>
      <c r="O32" s="547"/>
      <c r="P32" s="546"/>
      <c r="Q32" s="548">
        <v>22113</v>
      </c>
      <c r="R32" s="549">
        <f>'Table 3B Raw  '!F31</f>
        <v>22114</v>
      </c>
      <c r="S32" s="550">
        <f t="shared" si="2"/>
        <v>1</v>
      </c>
      <c r="T32" s="550"/>
      <c r="U32" s="537">
        <f t="shared" si="0"/>
        <v>22909</v>
      </c>
      <c r="V32" s="735"/>
    </row>
    <row r="33" spans="1:22" s="188" customFormat="1" ht="15.75" customHeight="1">
      <c r="A33" s="189" t="s">
        <v>135</v>
      </c>
      <c r="B33" s="543">
        <v>6048</v>
      </c>
      <c r="C33" s="544"/>
      <c r="D33" s="545"/>
      <c r="E33" s="556">
        <v>2343</v>
      </c>
      <c r="F33" s="546">
        <v>0</v>
      </c>
      <c r="G33" s="547">
        <v>0</v>
      </c>
      <c r="H33" s="538">
        <v>0</v>
      </c>
      <c r="I33" s="538">
        <v>262</v>
      </c>
      <c r="J33" s="538">
        <v>541</v>
      </c>
      <c r="K33" s="538">
        <v>75</v>
      </c>
      <c r="L33" s="538">
        <v>181</v>
      </c>
      <c r="M33" s="538">
        <v>487</v>
      </c>
      <c r="N33" s="539">
        <f t="shared" si="1"/>
        <v>20653</v>
      </c>
      <c r="O33" s="547"/>
      <c r="P33" s="546"/>
      <c r="Q33" s="548">
        <v>24542</v>
      </c>
      <c r="R33" s="549">
        <f>'Table 3B Raw  '!F32</f>
        <v>41239</v>
      </c>
      <c r="S33" s="550">
        <f t="shared" si="2"/>
        <v>16697</v>
      </c>
      <c r="T33" s="550"/>
      <c r="U33" s="537">
        <f t="shared" si="0"/>
        <v>30590</v>
      </c>
      <c r="V33" s="735"/>
    </row>
    <row r="34" spans="1:22" s="188" customFormat="1" ht="15.75" customHeight="1">
      <c r="A34" s="189" t="s">
        <v>136</v>
      </c>
      <c r="B34" s="543"/>
      <c r="C34" s="544"/>
      <c r="D34" s="545"/>
      <c r="E34" s="552">
        <v>0</v>
      </c>
      <c r="F34" s="546">
        <v>0</v>
      </c>
      <c r="G34" s="547">
        <v>0</v>
      </c>
      <c r="H34" s="538">
        <v>0</v>
      </c>
      <c r="I34" s="538">
        <v>0</v>
      </c>
      <c r="J34" s="538">
        <v>0</v>
      </c>
      <c r="K34" s="538">
        <v>0</v>
      </c>
      <c r="L34" s="538">
        <v>0</v>
      </c>
      <c r="M34" s="538">
        <v>0</v>
      </c>
      <c r="N34" s="539">
        <f t="shared" si="1"/>
        <v>0</v>
      </c>
      <c r="O34" s="547"/>
      <c r="P34" s="546"/>
      <c r="Q34" s="551">
        <v>0</v>
      </c>
      <c r="R34" s="549">
        <f>'Table 3B Raw  '!F33</f>
        <v>0</v>
      </c>
      <c r="S34" s="550">
        <f t="shared" si="2"/>
        <v>0</v>
      </c>
      <c r="T34" s="550"/>
      <c r="U34" s="537">
        <f t="shared" si="0"/>
        <v>0</v>
      </c>
      <c r="V34" s="735"/>
    </row>
    <row r="35" spans="1:22" s="188" customFormat="1" ht="15.75" customHeight="1">
      <c r="A35" s="189" t="s">
        <v>137</v>
      </c>
      <c r="B35" s="543"/>
      <c r="C35" s="544"/>
      <c r="D35" s="545">
        <v>106</v>
      </c>
      <c r="E35" s="552">
        <v>0</v>
      </c>
      <c r="F35" s="546">
        <v>188</v>
      </c>
      <c r="G35" s="547">
        <v>305</v>
      </c>
      <c r="H35" s="538">
        <v>245</v>
      </c>
      <c r="I35" s="538">
        <v>1570</v>
      </c>
      <c r="J35" s="538">
        <v>613</v>
      </c>
      <c r="K35" s="538">
        <v>445</v>
      </c>
      <c r="L35" s="538">
        <v>2498</v>
      </c>
      <c r="M35" s="538">
        <v>368</v>
      </c>
      <c r="N35" s="539">
        <f t="shared" si="1"/>
        <v>342</v>
      </c>
      <c r="O35" s="547"/>
      <c r="P35" s="546"/>
      <c r="Q35" s="548">
        <v>6574</v>
      </c>
      <c r="R35" s="549">
        <f>'Table 3B Raw  '!F34</f>
        <v>7258</v>
      </c>
      <c r="S35" s="550">
        <f t="shared" si="2"/>
        <v>684</v>
      </c>
      <c r="T35" s="550"/>
      <c r="U35" s="537">
        <f t="shared" si="0"/>
        <v>6680</v>
      </c>
      <c r="V35" s="735"/>
    </row>
    <row r="36" spans="1:22" s="188" customFormat="1" ht="15.75" customHeight="1">
      <c r="A36" s="189" t="s">
        <v>138</v>
      </c>
      <c r="B36" s="543">
        <v>5864</v>
      </c>
      <c r="C36" s="544">
        <v>104</v>
      </c>
      <c r="D36" s="545">
        <v>527</v>
      </c>
      <c r="E36" s="556">
        <v>2999</v>
      </c>
      <c r="F36" s="546">
        <v>13573</v>
      </c>
      <c r="G36" s="547">
        <v>20912</v>
      </c>
      <c r="H36" s="538">
        <v>0</v>
      </c>
      <c r="I36" s="538">
        <v>0</v>
      </c>
      <c r="J36" s="538">
        <v>52</v>
      </c>
      <c r="K36" s="538">
        <v>104</v>
      </c>
      <c r="L36" s="538">
        <v>219</v>
      </c>
      <c r="M36" s="538">
        <v>338</v>
      </c>
      <c r="N36" s="539">
        <f t="shared" si="1"/>
        <v>124</v>
      </c>
      <c r="O36" s="547"/>
      <c r="P36" s="546"/>
      <c r="Q36" s="548">
        <v>38321</v>
      </c>
      <c r="R36" s="549">
        <f>'Table 3B Raw  '!F35</f>
        <v>58304</v>
      </c>
      <c r="S36" s="550">
        <f t="shared" si="2"/>
        <v>19983</v>
      </c>
      <c r="T36" s="550"/>
      <c r="U36" s="537">
        <f t="shared" si="0"/>
        <v>44816</v>
      </c>
      <c r="V36" s="735"/>
    </row>
    <row r="37" spans="1:22" s="188" customFormat="1" ht="15.75" customHeight="1">
      <c r="A37" s="189" t="s">
        <v>139</v>
      </c>
      <c r="B37" s="543"/>
      <c r="C37" s="544"/>
      <c r="D37" s="545"/>
      <c r="E37" s="552">
        <v>0</v>
      </c>
      <c r="F37" s="546">
        <v>0</v>
      </c>
      <c r="G37" s="547">
        <v>0</v>
      </c>
      <c r="H37" s="538">
        <v>0</v>
      </c>
      <c r="I37" s="538">
        <v>0</v>
      </c>
      <c r="J37" s="538">
        <v>0</v>
      </c>
      <c r="K37" s="538">
        <v>0</v>
      </c>
      <c r="L37" s="538">
        <v>0</v>
      </c>
      <c r="M37" s="538">
        <v>0</v>
      </c>
      <c r="N37" s="539">
        <f t="shared" si="1"/>
        <v>0</v>
      </c>
      <c r="O37" s="547"/>
      <c r="P37" s="546"/>
      <c r="Q37" s="551">
        <v>0</v>
      </c>
      <c r="R37" s="549">
        <f>'Table 3B Raw  '!F36</f>
        <v>18680</v>
      </c>
      <c r="S37" s="550">
        <f t="shared" si="2"/>
        <v>18680</v>
      </c>
      <c r="T37" s="550"/>
      <c r="U37" s="537">
        <f t="shared" si="0"/>
        <v>0</v>
      </c>
      <c r="V37" s="735"/>
    </row>
    <row r="38" spans="1:22" s="188" customFormat="1" ht="15.75" customHeight="1">
      <c r="A38" s="189" t="s">
        <v>140</v>
      </c>
      <c r="B38" s="543">
        <v>4613</v>
      </c>
      <c r="C38" s="544"/>
      <c r="D38" s="545">
        <v>871</v>
      </c>
      <c r="E38" s="552">
        <v>24220</v>
      </c>
      <c r="F38" s="546">
        <v>0</v>
      </c>
      <c r="G38" s="547">
        <v>0</v>
      </c>
      <c r="H38" s="538">
        <v>0</v>
      </c>
      <c r="I38" s="538">
        <v>0</v>
      </c>
      <c r="J38" s="538">
        <v>0</v>
      </c>
      <c r="K38" s="538">
        <v>0</v>
      </c>
      <c r="L38" s="538">
        <v>0</v>
      </c>
      <c r="M38" s="538">
        <v>0</v>
      </c>
      <c r="N38" s="539">
        <f t="shared" si="1"/>
        <v>0</v>
      </c>
      <c r="O38" s="547"/>
      <c r="P38" s="546"/>
      <c r="Q38" s="553">
        <v>24220</v>
      </c>
      <c r="R38" s="549">
        <f>'Table 3B Raw  '!F37</f>
        <v>32707</v>
      </c>
      <c r="S38" s="550">
        <f t="shared" si="2"/>
        <v>8487</v>
      </c>
      <c r="T38" s="550"/>
      <c r="U38" s="537">
        <f t="shared" si="0"/>
        <v>29704</v>
      </c>
      <c r="V38" s="735"/>
    </row>
    <row r="39" spans="1:22" s="188" customFormat="1" ht="15.75" customHeight="1">
      <c r="A39" s="189" t="s">
        <v>141</v>
      </c>
      <c r="B39" s="543"/>
      <c r="C39" s="544"/>
      <c r="D39" s="545"/>
      <c r="E39" s="552">
        <v>0</v>
      </c>
      <c r="F39" s="546">
        <v>0</v>
      </c>
      <c r="G39" s="547">
        <v>0</v>
      </c>
      <c r="H39" s="538">
        <v>0</v>
      </c>
      <c r="I39" s="538">
        <v>0</v>
      </c>
      <c r="J39" s="538">
        <v>0</v>
      </c>
      <c r="K39" s="538">
        <v>0</v>
      </c>
      <c r="L39" s="538">
        <v>0</v>
      </c>
      <c r="M39" s="538">
        <v>0</v>
      </c>
      <c r="N39" s="539">
        <f t="shared" si="1"/>
        <v>0</v>
      </c>
      <c r="O39" s="547"/>
      <c r="P39" s="546"/>
      <c r="Q39" s="551">
        <v>0</v>
      </c>
      <c r="R39" s="549">
        <f>'Table 3B Raw  '!F38</f>
        <v>0</v>
      </c>
      <c r="S39" s="550">
        <f t="shared" si="2"/>
        <v>0</v>
      </c>
      <c r="T39" s="550"/>
      <c r="U39" s="537">
        <f t="shared" si="0"/>
        <v>0</v>
      </c>
      <c r="V39" s="735"/>
    </row>
    <row r="40" spans="1:22" s="188" customFormat="1" ht="15.75" customHeight="1">
      <c r="A40" s="189" t="s">
        <v>142</v>
      </c>
      <c r="B40" s="543"/>
      <c r="C40" s="544"/>
      <c r="D40" s="545"/>
      <c r="E40" s="552">
        <v>0</v>
      </c>
      <c r="F40" s="546">
        <v>0</v>
      </c>
      <c r="G40" s="547">
        <v>0</v>
      </c>
      <c r="H40" s="538">
        <v>0</v>
      </c>
      <c r="I40" s="538">
        <v>0</v>
      </c>
      <c r="J40" s="538">
        <v>0</v>
      </c>
      <c r="K40" s="538">
        <v>0</v>
      </c>
      <c r="L40" s="538">
        <v>0</v>
      </c>
      <c r="M40" s="538">
        <v>0</v>
      </c>
      <c r="N40" s="539">
        <f t="shared" si="1"/>
        <v>0</v>
      </c>
      <c r="O40" s="547"/>
      <c r="P40" s="546"/>
      <c r="Q40" s="551">
        <v>0</v>
      </c>
      <c r="R40" s="549">
        <f>'Table 3B Raw  '!F39</f>
        <v>0</v>
      </c>
      <c r="S40" s="550">
        <f t="shared" si="2"/>
        <v>0</v>
      </c>
      <c r="T40" s="550"/>
      <c r="U40" s="537">
        <f t="shared" si="0"/>
        <v>0</v>
      </c>
      <c r="V40" s="735"/>
    </row>
    <row r="41" spans="1:22" s="188" customFormat="1" ht="15.75" customHeight="1">
      <c r="A41" s="189" t="s">
        <v>143</v>
      </c>
      <c r="B41" s="543"/>
      <c r="C41" s="544"/>
      <c r="D41" s="545"/>
      <c r="E41" s="552">
        <v>0</v>
      </c>
      <c r="F41" s="546">
        <v>0</v>
      </c>
      <c r="G41" s="547">
        <v>0</v>
      </c>
      <c r="H41" s="538">
        <v>0</v>
      </c>
      <c r="I41" s="538">
        <v>0</v>
      </c>
      <c r="J41" s="538">
        <v>0</v>
      </c>
      <c r="K41" s="538">
        <v>0</v>
      </c>
      <c r="L41" s="538">
        <v>0</v>
      </c>
      <c r="M41" s="538">
        <v>0</v>
      </c>
      <c r="N41" s="539">
        <f t="shared" si="1"/>
        <v>0</v>
      </c>
      <c r="O41" s="547"/>
      <c r="P41" s="546"/>
      <c r="Q41" s="551">
        <v>0</v>
      </c>
      <c r="R41" s="549">
        <f>'Table 3B Raw  '!F40</f>
        <v>19909</v>
      </c>
      <c r="S41" s="550">
        <f t="shared" si="2"/>
        <v>19909</v>
      </c>
      <c r="T41" s="550"/>
      <c r="U41" s="537">
        <f t="shared" si="0"/>
        <v>0</v>
      </c>
      <c r="V41" s="735"/>
    </row>
    <row r="42" spans="1:22" s="188" customFormat="1" ht="15.75" customHeight="1">
      <c r="A42" s="189" t="s">
        <v>144</v>
      </c>
      <c r="B42" s="543"/>
      <c r="C42" s="544"/>
      <c r="D42" s="545"/>
      <c r="E42" s="552">
        <v>0</v>
      </c>
      <c r="F42" s="546">
        <v>0</v>
      </c>
      <c r="G42" s="547">
        <v>0</v>
      </c>
      <c r="H42" s="538">
        <v>0</v>
      </c>
      <c r="I42" s="538">
        <v>0</v>
      </c>
      <c r="J42" s="538">
        <v>0</v>
      </c>
      <c r="K42" s="538">
        <v>0</v>
      </c>
      <c r="L42" s="538">
        <v>0</v>
      </c>
      <c r="M42" s="538">
        <v>0</v>
      </c>
      <c r="N42" s="539">
        <f t="shared" si="1"/>
        <v>0</v>
      </c>
      <c r="O42" s="547"/>
      <c r="P42" s="546"/>
      <c r="Q42" s="551">
        <v>0</v>
      </c>
      <c r="R42" s="549">
        <f>'Table 3B Raw  '!F41</f>
        <v>0</v>
      </c>
      <c r="S42" s="550">
        <f t="shared" si="2"/>
        <v>0</v>
      </c>
      <c r="T42" s="550"/>
      <c r="U42" s="537">
        <f t="shared" si="0"/>
        <v>0</v>
      </c>
      <c r="V42" s="735"/>
    </row>
    <row r="43" spans="1:22" s="188" customFormat="1" ht="15.75" customHeight="1">
      <c r="A43" s="189" t="s">
        <v>145</v>
      </c>
      <c r="B43" s="543"/>
      <c r="C43" s="544"/>
      <c r="D43" s="545"/>
      <c r="E43" s="552">
        <v>0</v>
      </c>
      <c r="F43" s="546">
        <v>0</v>
      </c>
      <c r="G43" s="547">
        <v>0</v>
      </c>
      <c r="H43" s="538">
        <v>0</v>
      </c>
      <c r="I43" s="538">
        <v>0</v>
      </c>
      <c r="J43" s="538">
        <v>0</v>
      </c>
      <c r="K43" s="538">
        <v>0</v>
      </c>
      <c r="L43" s="538">
        <v>0</v>
      </c>
      <c r="M43" s="538">
        <v>0</v>
      </c>
      <c r="N43" s="539">
        <f t="shared" si="1"/>
        <v>0</v>
      </c>
      <c r="O43" s="547"/>
      <c r="P43" s="546"/>
      <c r="Q43" s="551">
        <v>0</v>
      </c>
      <c r="R43" s="549">
        <f>'Table 3B Raw  '!F42</f>
        <v>0</v>
      </c>
      <c r="S43" s="550">
        <f t="shared" si="2"/>
        <v>0</v>
      </c>
      <c r="T43" s="550"/>
      <c r="U43" s="537">
        <f t="shared" si="0"/>
        <v>0</v>
      </c>
      <c r="V43" s="735"/>
    </row>
    <row r="44" spans="1:22" s="188" customFormat="1" ht="15.75" customHeight="1">
      <c r="A44" s="189" t="s">
        <v>146</v>
      </c>
      <c r="B44" s="543"/>
      <c r="C44" s="544"/>
      <c r="D44" s="545"/>
      <c r="E44" s="556">
        <v>11335</v>
      </c>
      <c r="F44" s="546">
        <v>0</v>
      </c>
      <c r="G44" s="547">
        <v>0</v>
      </c>
      <c r="H44" s="538">
        <v>0</v>
      </c>
      <c r="I44" s="538">
        <v>0</v>
      </c>
      <c r="J44" s="538">
        <v>0</v>
      </c>
      <c r="K44" s="538">
        <v>0</v>
      </c>
      <c r="L44" s="538">
        <v>0</v>
      </c>
      <c r="M44" s="538">
        <v>0</v>
      </c>
      <c r="N44" s="539">
        <f t="shared" si="1"/>
        <v>0</v>
      </c>
      <c r="O44" s="547"/>
      <c r="P44" s="546"/>
      <c r="Q44" s="548">
        <v>11335</v>
      </c>
      <c r="R44" s="549">
        <f>'Table 3B Raw  '!F43</f>
        <v>17064</v>
      </c>
      <c r="S44" s="550">
        <f t="shared" si="2"/>
        <v>5729</v>
      </c>
      <c r="T44" s="550"/>
      <c r="U44" s="537">
        <f t="shared" si="0"/>
        <v>11335</v>
      </c>
      <c r="V44" s="735"/>
    </row>
    <row r="45" spans="1:22" s="188" customFormat="1" ht="12.2" customHeight="1">
      <c r="A45" s="189"/>
      <c r="B45" s="554"/>
      <c r="C45" s="555"/>
      <c r="D45" s="555"/>
      <c r="E45" s="556"/>
      <c r="F45" s="546"/>
      <c r="G45" s="546"/>
      <c r="H45" s="546"/>
      <c r="I45" s="546"/>
      <c r="J45" s="546"/>
      <c r="K45" s="546"/>
      <c r="L45" s="546"/>
      <c r="M45" s="546"/>
      <c r="N45" s="546"/>
      <c r="O45" s="557"/>
      <c r="P45" s="557"/>
      <c r="Q45" s="558"/>
      <c r="R45" s="545"/>
      <c r="S45" s="550"/>
      <c r="T45" s="550"/>
      <c r="U45" s="189"/>
    </row>
    <row r="46" spans="1:22" s="188" customFormat="1" ht="13.7" customHeight="1">
      <c r="A46" s="559" t="s">
        <v>40</v>
      </c>
      <c r="B46" s="560">
        <f>SUM(B5:B44)</f>
        <v>61112</v>
      </c>
      <c r="C46" s="561">
        <f>SUM(C5:C44)</f>
        <v>4202</v>
      </c>
      <c r="D46" s="561">
        <f>SUM(D5:D44)</f>
        <v>17999</v>
      </c>
      <c r="E46" s="562">
        <f t="shared" ref="E46:N46" si="3">SUM(E5:E45)</f>
        <v>221740</v>
      </c>
      <c r="F46" s="563">
        <f t="shared" si="3"/>
        <v>118884</v>
      </c>
      <c r="G46" s="563">
        <f t="shared" si="3"/>
        <v>105067</v>
      </c>
      <c r="H46" s="563">
        <f t="shared" si="3"/>
        <v>10277</v>
      </c>
      <c r="I46" s="563">
        <f t="shared" si="3"/>
        <v>83663</v>
      </c>
      <c r="J46" s="563">
        <f t="shared" si="3"/>
        <v>28334</v>
      </c>
      <c r="K46" s="563">
        <f t="shared" si="3"/>
        <v>45898</v>
      </c>
      <c r="L46" s="563">
        <f t="shared" si="3"/>
        <v>52868</v>
      </c>
      <c r="M46" s="563">
        <f t="shared" si="3"/>
        <v>43241</v>
      </c>
      <c r="N46" s="563">
        <f t="shared" si="3"/>
        <v>44002</v>
      </c>
      <c r="O46" s="563"/>
      <c r="P46" s="564"/>
      <c r="Q46" s="565">
        <f>SUM(Q5:Q44)</f>
        <v>753974</v>
      </c>
      <c r="R46" s="565">
        <f>SUM(R5:R44)</f>
        <v>1207913</v>
      </c>
      <c r="S46" s="566">
        <f>R46-Q46</f>
        <v>453939</v>
      </c>
      <c r="T46" s="566">
        <v>120000</v>
      </c>
      <c r="U46" s="566">
        <f>SUM(U5:U44)</f>
        <v>837287</v>
      </c>
    </row>
    <row r="47" spans="1:22" s="188" customFormat="1" ht="18" customHeight="1">
      <c r="A47" s="165"/>
      <c r="B47" s="165"/>
      <c r="C47" s="165"/>
      <c r="D47" s="165"/>
      <c r="E47" s="546"/>
      <c r="F47" s="546"/>
      <c r="G47" s="546"/>
      <c r="H47" s="546"/>
      <c r="I47" s="546"/>
      <c r="J47" s="165"/>
      <c r="K47" s="165"/>
      <c r="L47" s="165"/>
      <c r="M47" s="165"/>
      <c r="N47" s="165"/>
      <c r="O47" s="165"/>
      <c r="P47" s="546"/>
      <c r="Q47" s="546"/>
      <c r="R47" s="546"/>
      <c r="S47" s="546"/>
      <c r="T47" s="546"/>
      <c r="U47" s="546"/>
    </row>
    <row r="48" spans="1:22" s="59" customFormat="1" ht="15.75" customHeight="1">
      <c r="A48" s="812" t="s">
        <v>147</v>
      </c>
      <c r="B48" s="812"/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165"/>
      <c r="Q48" s="567"/>
      <c r="R48" s="546"/>
      <c r="S48" s="622"/>
      <c r="T48" s="546"/>
      <c r="U48" s="568"/>
    </row>
    <row r="49" spans="1:21" s="59" customFormat="1" ht="15.75" customHeight="1">
      <c r="A49" s="812" t="s">
        <v>148</v>
      </c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</row>
    <row r="50" spans="1:21" s="59" customFormat="1" ht="15.75" customHeight="1">
      <c r="A50" s="812" t="s">
        <v>149</v>
      </c>
      <c r="B50" s="812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165"/>
      <c r="R50" s="546"/>
      <c r="S50" s="569"/>
      <c r="T50" s="569"/>
      <c r="U50" s="623"/>
    </row>
    <row r="51" spans="1:21" s="59" customFormat="1" ht="14.25">
      <c r="A51" s="811" t="s">
        <v>83</v>
      </c>
      <c r="B51" s="811"/>
      <c r="C51" s="811"/>
      <c r="D51" s="811"/>
      <c r="G51" s="568"/>
      <c r="L51" s="583"/>
      <c r="N51" s="568"/>
      <c r="Q51" s="568"/>
      <c r="R51" s="568"/>
      <c r="T51" s="568"/>
    </row>
    <row r="52" spans="1:21" s="4" customFormat="1">
      <c r="F52" s="5"/>
      <c r="H52" s="368"/>
      <c r="U52" s="368"/>
    </row>
  </sheetData>
  <mergeCells count="8">
    <mergeCell ref="A51:D51"/>
    <mergeCell ref="A50:P50"/>
    <mergeCell ref="B2:D2"/>
    <mergeCell ref="E4:P4"/>
    <mergeCell ref="A48:O48"/>
    <mergeCell ref="A49:U49"/>
    <mergeCell ref="Q2:T2"/>
    <mergeCell ref="U2:U3"/>
  </mergeCells>
  <phoneticPr fontId="44" type="noConversion"/>
  <pageMargins left="0.5" right="0.17" top="1" bottom="0.17" header="0.3" footer="0.17"/>
  <pageSetup scale="59" orientation="landscape" r:id="rId1"/>
  <headerFooter alignWithMargins="0"/>
  <ignoredErrors>
    <ignoredError sqref="N5 N6:N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17B3-B95F-48EB-86D3-CD96D084E7D4}">
  <sheetPr>
    <pageSetUpPr fitToPage="1"/>
  </sheetPr>
  <dimension ref="A1:J50"/>
  <sheetViews>
    <sheetView zoomScaleNormal="100" workbookViewId="0">
      <selection activeCell="I12" sqref="I12"/>
    </sheetView>
  </sheetViews>
  <sheetFormatPr defaultColWidth="9.140625" defaultRowHeight="12.75"/>
  <cols>
    <col min="1" max="1" width="26.85546875" style="161" customWidth="1"/>
    <col min="2" max="2" width="26.28515625" style="161" customWidth="1"/>
    <col min="3" max="3" width="24.85546875" style="161" customWidth="1"/>
    <col min="4" max="4" width="23.7109375" style="161" customWidth="1"/>
    <col min="5" max="5" width="24.140625" style="161" customWidth="1"/>
    <col min="6" max="6" width="22.85546875" style="161" customWidth="1"/>
    <col min="7" max="7" width="9.140625" style="161" customWidth="1"/>
    <col min="8" max="8" width="9.140625" style="161"/>
    <col min="9" max="11" width="15.42578125" style="161" customWidth="1"/>
    <col min="12" max="16384" width="9.140625" style="161"/>
  </cols>
  <sheetData>
    <row r="1" spans="1:9" ht="15.75">
      <c r="A1" s="570" t="s">
        <v>150</v>
      </c>
      <c r="B1" s="570"/>
      <c r="C1" s="570"/>
      <c r="D1" s="570"/>
      <c r="E1" s="570"/>
      <c r="F1" s="570"/>
    </row>
    <row r="2" spans="1:9" ht="18" customHeight="1">
      <c r="A2" s="571" t="s">
        <v>151</v>
      </c>
      <c r="B2" s="572" t="s">
        <v>152</v>
      </c>
      <c r="C2" s="572" t="s">
        <v>153</v>
      </c>
      <c r="D2" s="572" t="s">
        <v>154</v>
      </c>
      <c r="E2" s="572" t="s">
        <v>155</v>
      </c>
      <c r="F2" s="572" t="s">
        <v>156</v>
      </c>
    </row>
    <row r="3" spans="1:9" ht="14.45" customHeight="1">
      <c r="A3" s="573"/>
      <c r="B3" s="822" t="s">
        <v>106</v>
      </c>
      <c r="C3" s="823"/>
      <c r="D3" s="823"/>
      <c r="E3" s="823"/>
      <c r="F3" s="824"/>
    </row>
    <row r="4" spans="1:9" ht="15" customHeight="1">
      <c r="A4" s="574" t="s">
        <v>107</v>
      </c>
      <c r="B4" s="575">
        <v>45281</v>
      </c>
      <c r="C4" s="581"/>
      <c r="D4" s="576">
        <v>11027</v>
      </c>
      <c r="E4" s="576">
        <v>4840</v>
      </c>
      <c r="F4" s="575">
        <f>B4-C4+D4+E4</f>
        <v>61148</v>
      </c>
    </row>
    <row r="5" spans="1:9" ht="15" customHeight="1">
      <c r="A5" s="194" t="s">
        <v>157</v>
      </c>
      <c r="B5" s="575">
        <v>87402</v>
      </c>
      <c r="C5" s="581"/>
      <c r="D5" s="576">
        <v>21284</v>
      </c>
      <c r="E5" s="576">
        <v>9342</v>
      </c>
      <c r="F5" s="575">
        <f t="shared" ref="F5:F43" si="0">B5-C5+D5+E5</f>
        <v>118028</v>
      </c>
    </row>
    <row r="6" spans="1:9" ht="15" customHeight="1">
      <c r="A6" s="194" t="s">
        <v>109</v>
      </c>
      <c r="B6" s="575">
        <v>7371</v>
      </c>
      <c r="C6" s="581"/>
      <c r="D6" s="576">
        <v>1795</v>
      </c>
      <c r="E6" s="576">
        <v>788</v>
      </c>
      <c r="F6" s="575">
        <f t="shared" si="0"/>
        <v>9954</v>
      </c>
    </row>
    <row r="7" spans="1:9" ht="15" customHeight="1">
      <c r="A7" s="194" t="s">
        <v>110</v>
      </c>
      <c r="B7" s="575">
        <v>11584</v>
      </c>
      <c r="C7" s="581"/>
      <c r="D7" s="576">
        <v>2821</v>
      </c>
      <c r="E7" s="576">
        <v>1238</v>
      </c>
      <c r="F7" s="575">
        <f t="shared" si="0"/>
        <v>15643</v>
      </c>
    </row>
    <row r="8" spans="1:9" ht="15" customHeight="1">
      <c r="A8" s="194" t="s">
        <v>111</v>
      </c>
      <c r="B8" s="575">
        <v>8424</v>
      </c>
      <c r="C8" s="581"/>
      <c r="D8" s="576">
        <v>2051</v>
      </c>
      <c r="E8" s="576">
        <v>900</v>
      </c>
      <c r="F8" s="575">
        <f t="shared" si="0"/>
        <v>11375</v>
      </c>
      <c r="I8" s="394"/>
    </row>
    <row r="9" spans="1:9" ht="15" customHeight="1">
      <c r="A9" s="194" t="s">
        <v>112</v>
      </c>
      <c r="B9" s="575">
        <v>152691</v>
      </c>
      <c r="C9" s="581"/>
      <c r="D9" s="576">
        <v>37182</v>
      </c>
      <c r="E9" s="576">
        <v>16320</v>
      </c>
      <c r="F9" s="575">
        <f t="shared" si="0"/>
        <v>206193</v>
      </c>
      <c r="G9" s="730"/>
      <c r="I9" s="394"/>
    </row>
    <row r="10" spans="1:9" ht="15" customHeight="1">
      <c r="A10" s="194" t="s">
        <v>113</v>
      </c>
      <c r="B10" s="575">
        <v>25273</v>
      </c>
      <c r="C10" s="581"/>
      <c r="D10" s="576">
        <v>6154</v>
      </c>
      <c r="E10" s="576">
        <v>2701</v>
      </c>
      <c r="F10" s="575">
        <f t="shared" si="0"/>
        <v>34128</v>
      </c>
      <c r="I10" s="394"/>
    </row>
    <row r="11" spans="1:9" ht="15" customHeight="1">
      <c r="A11" s="194" t="s">
        <v>114</v>
      </c>
      <c r="B11" s="575">
        <v>7258</v>
      </c>
      <c r="C11" s="581">
        <v>7258</v>
      </c>
      <c r="D11" s="576"/>
      <c r="E11" s="576">
        <v>0</v>
      </c>
      <c r="F11" s="575">
        <f t="shared" si="0"/>
        <v>0</v>
      </c>
      <c r="I11" s="394"/>
    </row>
    <row r="12" spans="1:9" ht="15" customHeight="1">
      <c r="A12" s="194" t="s">
        <v>115</v>
      </c>
      <c r="B12" s="575">
        <v>15796</v>
      </c>
      <c r="C12" s="581"/>
      <c r="D12" s="576">
        <v>3846</v>
      </c>
      <c r="E12" s="576">
        <v>1688</v>
      </c>
      <c r="F12" s="575">
        <f t="shared" si="0"/>
        <v>21330</v>
      </c>
      <c r="I12" s="394"/>
    </row>
    <row r="13" spans="1:9" ht="15" customHeight="1">
      <c r="A13" s="194" t="s">
        <v>116</v>
      </c>
      <c r="B13" s="575">
        <v>7258</v>
      </c>
      <c r="C13" s="581">
        <v>7258</v>
      </c>
      <c r="D13" s="576"/>
      <c r="E13" s="576">
        <v>0</v>
      </c>
      <c r="F13" s="575">
        <f t="shared" si="0"/>
        <v>0</v>
      </c>
      <c r="I13" s="394"/>
    </row>
    <row r="14" spans="1:9" ht="15" customHeight="1">
      <c r="A14" s="194" t="s">
        <v>117</v>
      </c>
      <c r="B14" s="575">
        <v>185335</v>
      </c>
      <c r="C14" s="581"/>
      <c r="D14" s="576">
        <v>40000</v>
      </c>
      <c r="E14" s="576">
        <v>19809</v>
      </c>
      <c r="F14" s="575">
        <f t="shared" si="0"/>
        <v>245144</v>
      </c>
      <c r="I14" s="394"/>
    </row>
    <row r="15" spans="1:9" ht="15" customHeight="1">
      <c r="A15" s="194" t="s">
        <v>118</v>
      </c>
      <c r="B15" s="575">
        <v>11584</v>
      </c>
      <c r="C15" s="581"/>
      <c r="D15" s="576">
        <v>2821</v>
      </c>
      <c r="E15" s="576">
        <v>1238</v>
      </c>
      <c r="F15" s="575">
        <f t="shared" si="0"/>
        <v>15643</v>
      </c>
      <c r="I15" s="394"/>
    </row>
    <row r="16" spans="1:9" ht="15" customHeight="1">
      <c r="A16" s="194" t="s">
        <v>119</v>
      </c>
      <c r="B16" s="575">
        <v>27379</v>
      </c>
      <c r="C16" s="581"/>
      <c r="D16" s="576">
        <v>6667</v>
      </c>
      <c r="E16" s="576">
        <v>2926</v>
      </c>
      <c r="F16" s="575">
        <f t="shared" si="0"/>
        <v>36972</v>
      </c>
      <c r="I16" s="394"/>
    </row>
    <row r="17" spans="1:9" ht="15" customHeight="1">
      <c r="A17" s="194" t="s">
        <v>120</v>
      </c>
      <c r="B17" s="575">
        <v>16849</v>
      </c>
      <c r="C17" s="581"/>
      <c r="D17" s="576">
        <v>4103</v>
      </c>
      <c r="E17" s="576">
        <v>1801</v>
      </c>
      <c r="F17" s="575">
        <f t="shared" si="0"/>
        <v>22753</v>
      </c>
      <c r="I17" s="394"/>
    </row>
    <row r="18" spans="1:9" ht="15" customHeight="1">
      <c r="A18" s="194" t="s">
        <v>121</v>
      </c>
      <c r="B18" s="575">
        <v>9477</v>
      </c>
      <c r="C18" s="581"/>
      <c r="D18" s="576">
        <v>2308</v>
      </c>
      <c r="E18" s="576">
        <v>1013</v>
      </c>
      <c r="F18" s="575">
        <f t="shared" si="0"/>
        <v>12798</v>
      </c>
      <c r="I18" s="394"/>
    </row>
    <row r="19" spans="1:9" ht="15" customHeight="1">
      <c r="A19" s="194" t="s">
        <v>122</v>
      </c>
      <c r="B19" s="575">
        <v>7258</v>
      </c>
      <c r="C19" s="581">
        <v>7258</v>
      </c>
      <c r="D19" s="576"/>
      <c r="E19" s="576">
        <v>0</v>
      </c>
      <c r="F19" s="575">
        <f t="shared" si="0"/>
        <v>0</v>
      </c>
      <c r="I19" s="394"/>
    </row>
    <row r="20" spans="1:9" ht="15" customHeight="1">
      <c r="A20" s="194" t="s">
        <v>123</v>
      </c>
      <c r="B20" s="575">
        <v>50546</v>
      </c>
      <c r="C20" s="581"/>
      <c r="D20" s="576">
        <v>12309</v>
      </c>
      <c r="E20" s="576">
        <v>5402</v>
      </c>
      <c r="F20" s="575">
        <f t="shared" si="0"/>
        <v>68257</v>
      </c>
      <c r="I20" s="394"/>
    </row>
    <row r="21" spans="1:9" ht="15" customHeight="1">
      <c r="A21" s="194" t="s">
        <v>124</v>
      </c>
      <c r="B21" s="575">
        <v>12636</v>
      </c>
      <c r="C21" s="581"/>
      <c r="D21" s="576">
        <v>3077</v>
      </c>
      <c r="E21" s="576">
        <v>1351</v>
      </c>
      <c r="F21" s="575">
        <f t="shared" si="0"/>
        <v>17064</v>
      </c>
      <c r="I21" s="394"/>
    </row>
    <row r="22" spans="1:9" ht="15" customHeight="1">
      <c r="A22" s="194" t="s">
        <v>125</v>
      </c>
      <c r="B22" s="575">
        <v>7258</v>
      </c>
      <c r="C22" s="581">
        <v>7258</v>
      </c>
      <c r="D22" s="576"/>
      <c r="E22" s="576">
        <v>0</v>
      </c>
      <c r="F22" s="575">
        <f t="shared" si="0"/>
        <v>0</v>
      </c>
      <c r="I22" s="394"/>
    </row>
    <row r="23" spans="1:9" ht="15" customHeight="1">
      <c r="A23" s="194" t="s">
        <v>126</v>
      </c>
      <c r="B23" s="575">
        <v>10530</v>
      </c>
      <c r="C23" s="581"/>
      <c r="D23" s="576">
        <v>2564</v>
      </c>
      <c r="E23" s="576">
        <v>1126</v>
      </c>
      <c r="F23" s="575">
        <f t="shared" si="0"/>
        <v>14220</v>
      </c>
      <c r="I23" s="394"/>
    </row>
    <row r="24" spans="1:9" ht="15" customHeight="1">
      <c r="A24" s="194" t="s">
        <v>127</v>
      </c>
      <c r="B24" s="575">
        <v>8424</v>
      </c>
      <c r="C24" s="581"/>
      <c r="D24" s="576">
        <v>2051</v>
      </c>
      <c r="E24" s="576">
        <v>900</v>
      </c>
      <c r="F24" s="575">
        <f t="shared" si="0"/>
        <v>11375</v>
      </c>
      <c r="I24" s="394"/>
    </row>
    <row r="25" spans="1:9" ht="15" customHeight="1">
      <c r="A25" s="194" t="s">
        <v>128</v>
      </c>
      <c r="B25" s="575">
        <v>11584</v>
      </c>
      <c r="C25" s="581"/>
      <c r="D25" s="576"/>
      <c r="E25" s="576">
        <v>0</v>
      </c>
      <c r="F25" s="575">
        <f t="shared" si="0"/>
        <v>11584</v>
      </c>
      <c r="I25" s="394"/>
    </row>
    <row r="26" spans="1:9" ht="15" customHeight="1">
      <c r="A26" s="194" t="s">
        <v>129</v>
      </c>
      <c r="B26" s="575">
        <v>7258</v>
      </c>
      <c r="C26" s="581">
        <v>7258</v>
      </c>
      <c r="D26" s="576"/>
      <c r="E26" s="576">
        <v>0</v>
      </c>
      <c r="F26" s="575">
        <f t="shared" si="0"/>
        <v>0</v>
      </c>
      <c r="I26" s="394"/>
    </row>
    <row r="27" spans="1:9" ht="15" customHeight="1">
      <c r="A27" s="194" t="s">
        <v>130</v>
      </c>
      <c r="B27" s="575">
        <v>10530</v>
      </c>
      <c r="C27" s="581"/>
      <c r="D27" s="576">
        <v>2564</v>
      </c>
      <c r="E27" s="576">
        <v>1126</v>
      </c>
      <c r="F27" s="575">
        <f t="shared" si="0"/>
        <v>14220</v>
      </c>
      <c r="I27" s="394"/>
    </row>
    <row r="28" spans="1:9" ht="15" customHeight="1">
      <c r="A28" s="194" t="s">
        <v>131</v>
      </c>
      <c r="B28" s="575">
        <v>12636</v>
      </c>
      <c r="C28" s="581"/>
      <c r="D28" s="576">
        <v>3077</v>
      </c>
      <c r="E28" s="576">
        <v>1351</v>
      </c>
      <c r="F28" s="575">
        <f t="shared" si="0"/>
        <v>17064</v>
      </c>
      <c r="I28" s="394"/>
    </row>
    <row r="29" spans="1:9" ht="15" customHeight="1">
      <c r="A29" s="194" t="s">
        <v>158</v>
      </c>
      <c r="B29" s="575">
        <v>7258</v>
      </c>
      <c r="C29" s="581"/>
      <c r="D29" s="576"/>
      <c r="E29" s="576">
        <v>0</v>
      </c>
      <c r="F29" s="575">
        <f t="shared" si="0"/>
        <v>7258</v>
      </c>
      <c r="I29" s="394"/>
    </row>
    <row r="30" spans="1:9" ht="15" customHeight="1">
      <c r="A30" s="194" t="s">
        <v>133</v>
      </c>
      <c r="B30" s="575">
        <v>13690</v>
      </c>
      <c r="C30" s="581"/>
      <c r="D30" s="576">
        <v>3334</v>
      </c>
      <c r="E30" s="576">
        <v>1463</v>
      </c>
      <c r="F30" s="575">
        <f t="shared" si="0"/>
        <v>18487</v>
      </c>
      <c r="I30" s="394"/>
    </row>
    <row r="31" spans="1:9" ht="15" customHeight="1">
      <c r="A31" s="194" t="s">
        <v>134</v>
      </c>
      <c r="B31" s="575">
        <v>22114</v>
      </c>
      <c r="C31" s="581"/>
      <c r="D31" s="576"/>
      <c r="E31" s="576">
        <v>0</v>
      </c>
      <c r="F31" s="575">
        <f t="shared" si="0"/>
        <v>22114</v>
      </c>
      <c r="I31" s="394"/>
    </row>
    <row r="32" spans="1:9" ht="15" customHeight="1">
      <c r="A32" s="194" t="s">
        <v>135</v>
      </c>
      <c r="B32" s="575">
        <v>30538</v>
      </c>
      <c r="C32" s="581"/>
      <c r="D32" s="576">
        <v>7437</v>
      </c>
      <c r="E32" s="576">
        <v>3264</v>
      </c>
      <c r="F32" s="575">
        <f t="shared" si="0"/>
        <v>41239</v>
      </c>
      <c r="I32" s="394"/>
    </row>
    <row r="33" spans="1:10" ht="15" customHeight="1">
      <c r="A33" s="194" t="s">
        <v>136</v>
      </c>
      <c r="B33" s="575">
        <v>7258</v>
      </c>
      <c r="C33" s="581">
        <v>7258</v>
      </c>
      <c r="D33" s="576"/>
      <c r="E33" s="576">
        <v>0</v>
      </c>
      <c r="F33" s="575">
        <f t="shared" si="0"/>
        <v>0</v>
      </c>
      <c r="I33" s="394"/>
      <c r="J33" s="369"/>
    </row>
    <row r="34" spans="1:10" ht="15" customHeight="1">
      <c r="A34" s="194" t="s">
        <v>137</v>
      </c>
      <c r="B34" s="575">
        <v>7258</v>
      </c>
      <c r="C34" s="581"/>
      <c r="D34" s="576"/>
      <c r="E34" s="576">
        <v>0</v>
      </c>
      <c r="F34" s="575">
        <f t="shared" si="0"/>
        <v>7258</v>
      </c>
      <c r="I34" s="394"/>
    </row>
    <row r="35" spans="1:10" ht="15" customHeight="1">
      <c r="A35" s="194" t="s">
        <v>138</v>
      </c>
      <c r="B35" s="575">
        <v>43175</v>
      </c>
      <c r="C35" s="581"/>
      <c r="D35" s="576">
        <v>10514</v>
      </c>
      <c r="E35" s="576">
        <v>4615</v>
      </c>
      <c r="F35" s="575">
        <f t="shared" si="0"/>
        <v>58304</v>
      </c>
      <c r="I35" s="394"/>
    </row>
    <row r="36" spans="1:10" ht="15" customHeight="1">
      <c r="A36" s="194" t="s">
        <v>159</v>
      </c>
      <c r="B36" s="575">
        <v>142160</v>
      </c>
      <c r="C36" s="581">
        <v>123480</v>
      </c>
      <c r="D36" s="576"/>
      <c r="E36" s="576">
        <v>0</v>
      </c>
      <c r="F36" s="575">
        <f t="shared" si="0"/>
        <v>18680</v>
      </c>
      <c r="I36" s="394"/>
    </row>
    <row r="37" spans="1:10" ht="15" customHeight="1">
      <c r="A37" s="194" t="s">
        <v>140</v>
      </c>
      <c r="B37" s="575">
        <v>24220</v>
      </c>
      <c r="C37" s="581"/>
      <c r="D37" s="576">
        <v>5898</v>
      </c>
      <c r="E37" s="576">
        <v>2589</v>
      </c>
      <c r="F37" s="575">
        <f t="shared" si="0"/>
        <v>32707</v>
      </c>
      <c r="I37" s="394"/>
    </row>
    <row r="38" spans="1:10" ht="15" customHeight="1">
      <c r="A38" s="194" t="s">
        <v>160</v>
      </c>
      <c r="B38" s="575">
        <v>7258</v>
      </c>
      <c r="C38" s="581">
        <v>7258</v>
      </c>
      <c r="D38" s="576"/>
      <c r="E38" s="576">
        <v>0</v>
      </c>
      <c r="F38" s="575">
        <f t="shared" si="0"/>
        <v>0</v>
      </c>
      <c r="I38" s="394"/>
    </row>
    <row r="39" spans="1:10" ht="15" customHeight="1">
      <c r="A39" s="194" t="s">
        <v>142</v>
      </c>
      <c r="B39" s="575">
        <v>12636</v>
      </c>
      <c r="C39" s="581">
        <v>12636</v>
      </c>
      <c r="D39" s="576"/>
      <c r="E39" s="576">
        <v>0</v>
      </c>
      <c r="F39" s="575">
        <f t="shared" si="0"/>
        <v>0</v>
      </c>
      <c r="I39" s="394"/>
    </row>
    <row r="40" spans="1:10" ht="15" customHeight="1">
      <c r="A40" s="194" t="s">
        <v>143</v>
      </c>
      <c r="B40" s="575">
        <v>14743</v>
      </c>
      <c r="C40" s="581"/>
      <c r="D40" s="576">
        <v>3590</v>
      </c>
      <c r="E40" s="576">
        <v>1576</v>
      </c>
      <c r="F40" s="575">
        <f t="shared" si="0"/>
        <v>19909</v>
      </c>
      <c r="I40" s="394"/>
      <c r="J40" s="369"/>
    </row>
    <row r="41" spans="1:10" ht="15" customHeight="1">
      <c r="A41" s="194" t="s">
        <v>144</v>
      </c>
      <c r="B41" s="575">
        <v>7371</v>
      </c>
      <c r="C41" s="581">
        <v>7371</v>
      </c>
      <c r="D41" s="576"/>
      <c r="E41" s="576">
        <v>0</v>
      </c>
      <c r="F41" s="575">
        <f t="shared" si="0"/>
        <v>0</v>
      </c>
      <c r="I41" s="394"/>
    </row>
    <row r="42" spans="1:10" ht="15" customHeight="1">
      <c r="A42" s="194" t="s">
        <v>145</v>
      </c>
      <c r="B42" s="575">
        <v>7258</v>
      </c>
      <c r="C42" s="581">
        <v>7258</v>
      </c>
      <c r="D42" s="576"/>
      <c r="E42" s="576">
        <v>0</v>
      </c>
      <c r="F42" s="575">
        <f t="shared" si="0"/>
        <v>0</v>
      </c>
      <c r="I42" s="394"/>
    </row>
    <row r="43" spans="1:10" ht="15" customHeight="1">
      <c r="A43" s="577" t="s">
        <v>146</v>
      </c>
      <c r="B43" s="578">
        <v>12636</v>
      </c>
      <c r="C43" s="466"/>
      <c r="D43" s="576">
        <v>3077</v>
      </c>
      <c r="E43" s="576">
        <v>1351</v>
      </c>
      <c r="F43" s="575">
        <f t="shared" si="0"/>
        <v>17064</v>
      </c>
      <c r="I43" s="394"/>
    </row>
    <row r="44" spans="1:10" ht="15">
      <c r="A44" s="579" t="s">
        <v>40</v>
      </c>
      <c r="B44" s="580">
        <f>SUM(B4:B43)</f>
        <v>1117195</v>
      </c>
      <c r="C44" s="580">
        <f>SUM(C4:C43)</f>
        <v>201551</v>
      </c>
      <c r="D44" s="580">
        <f>SUM(D4:D43)</f>
        <v>201551</v>
      </c>
      <c r="E44" s="580">
        <v>90718</v>
      </c>
      <c r="F44" s="580">
        <f>B44-C44+D44+E44</f>
        <v>1207913</v>
      </c>
      <c r="I44" s="394"/>
    </row>
    <row r="45" spans="1:10">
      <c r="A45" s="509"/>
      <c r="B45" s="509"/>
      <c r="C45" s="509"/>
      <c r="D45" s="509"/>
      <c r="E45" s="509"/>
      <c r="F45" s="509"/>
      <c r="I45" s="394"/>
    </row>
    <row r="46" spans="1:10" s="162" customFormat="1" ht="15.6" customHeight="1">
      <c r="A46" s="582" t="s">
        <v>161</v>
      </c>
      <c r="B46" s="582"/>
      <c r="C46" s="582"/>
      <c r="D46" s="582"/>
      <c r="E46" s="582"/>
      <c r="F46" s="582"/>
      <c r="I46" s="613"/>
    </row>
    <row r="47" spans="1:10" ht="15.6" customHeight="1">
      <c r="A47" s="825" t="s">
        <v>162</v>
      </c>
      <c r="B47" s="825"/>
      <c r="C47" s="825"/>
      <c r="D47" s="825"/>
      <c r="E47" s="825"/>
      <c r="F47" s="825"/>
      <c r="G47" s="826"/>
      <c r="I47" s="394"/>
    </row>
    <row r="48" spans="1:10">
      <c r="B48" s="394"/>
      <c r="F48" s="369"/>
      <c r="J48" s="394"/>
    </row>
    <row r="49" spans="1:6">
      <c r="A49" s="733"/>
      <c r="B49" s="369"/>
      <c r="C49" s="369"/>
      <c r="F49" s="369"/>
    </row>
    <row r="50" spans="1:6">
      <c r="B50" s="736"/>
      <c r="C50" s="737"/>
    </row>
  </sheetData>
  <mergeCells count="2">
    <mergeCell ref="B3:F3"/>
    <mergeCell ref="A47:G47"/>
  </mergeCells>
  <pageMargins left="0.5" right="0.17" top="1" bottom="0.17" header="0.17" footer="0.17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31"/>
  <sheetViews>
    <sheetView showGridLines="0" zoomScaleNormal="100" workbookViewId="0">
      <selection activeCell="H21" sqref="H21"/>
    </sheetView>
  </sheetViews>
  <sheetFormatPr defaultRowHeight="12.75"/>
  <cols>
    <col min="1" max="1" width="25.85546875" customWidth="1"/>
    <col min="2" max="2" width="15.5703125" customWidth="1"/>
    <col min="3" max="4" width="9.7109375" customWidth="1"/>
    <col min="5" max="5" width="8.7109375" customWidth="1"/>
    <col min="6" max="6" width="11.140625" customWidth="1"/>
    <col min="7" max="7" width="11.28515625" customWidth="1"/>
    <col min="8" max="8" width="10.42578125" customWidth="1"/>
    <col min="9" max="9" width="11.28515625" customWidth="1"/>
    <col min="10" max="13" width="8.85546875" customWidth="1"/>
    <col min="14" max="14" width="11.28515625" customWidth="1"/>
    <col min="15" max="15" width="8.42578125" customWidth="1"/>
    <col min="16" max="16" width="10" customWidth="1"/>
  </cols>
  <sheetData>
    <row r="1" spans="1:16" s="19" customFormat="1" ht="18.75" customHeight="1">
      <c r="A1" s="166" t="s">
        <v>163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s="19" customFormat="1" ht="18" customHeight="1">
      <c r="A2" s="315"/>
      <c r="B2" s="73" t="s">
        <v>86</v>
      </c>
      <c r="C2" s="73" t="s">
        <v>87</v>
      </c>
      <c r="D2" s="73" t="s">
        <v>88</v>
      </c>
      <c r="E2" s="137" t="s">
        <v>89</v>
      </c>
      <c r="F2" s="73" t="s">
        <v>90</v>
      </c>
      <c r="G2" s="73" t="s">
        <v>91</v>
      </c>
      <c r="H2" s="73" t="s">
        <v>92</v>
      </c>
      <c r="I2" s="73" t="s">
        <v>93</v>
      </c>
      <c r="J2" s="137" t="s">
        <v>94</v>
      </c>
      <c r="K2" s="73" t="s">
        <v>95</v>
      </c>
      <c r="L2" s="73" t="s">
        <v>58</v>
      </c>
      <c r="M2" s="74" t="s">
        <v>59</v>
      </c>
      <c r="N2" s="830" t="s">
        <v>164</v>
      </c>
      <c r="O2" s="831"/>
      <c r="P2" s="832"/>
    </row>
    <row r="3" spans="1:16" s="21" customFormat="1" ht="32.25" customHeight="1">
      <c r="A3" s="441"/>
      <c r="B3" s="451">
        <v>44501</v>
      </c>
      <c r="C3" s="451">
        <v>44529</v>
      </c>
      <c r="D3" s="451">
        <v>44561</v>
      </c>
      <c r="E3" s="451">
        <v>44592</v>
      </c>
      <c r="F3" s="451">
        <v>44620</v>
      </c>
      <c r="G3" s="451">
        <v>44655</v>
      </c>
      <c r="H3" s="451">
        <v>44683</v>
      </c>
      <c r="I3" s="451">
        <v>44711</v>
      </c>
      <c r="J3" s="451">
        <v>44747</v>
      </c>
      <c r="K3" s="451">
        <v>44774</v>
      </c>
      <c r="L3" s="451">
        <v>44802</v>
      </c>
      <c r="M3" s="451">
        <v>44834</v>
      </c>
      <c r="N3" s="143" t="s">
        <v>165</v>
      </c>
      <c r="O3" s="772" t="s">
        <v>166</v>
      </c>
      <c r="P3" s="445" t="s">
        <v>167</v>
      </c>
    </row>
    <row r="4" spans="1:16" ht="13.15" customHeight="1">
      <c r="A4" s="11"/>
      <c r="B4" s="12"/>
      <c r="C4" s="13"/>
      <c r="D4" s="13"/>
      <c r="E4" s="13"/>
      <c r="F4" s="14"/>
      <c r="G4" s="3"/>
      <c r="H4" s="3"/>
      <c r="I4" s="1"/>
      <c r="J4" s="1"/>
      <c r="K4" s="1"/>
      <c r="L4" s="1"/>
      <c r="M4" s="6"/>
      <c r="N4" s="10"/>
      <c r="O4" s="9"/>
      <c r="P4" s="2"/>
    </row>
    <row r="5" spans="1:16" ht="12.75" customHeight="1">
      <c r="A5" s="58"/>
      <c r="B5" s="827" t="s">
        <v>24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9"/>
      <c r="N5" s="75"/>
      <c r="O5" s="76"/>
      <c r="P5" s="75"/>
    </row>
    <row r="6" spans="1:16" ht="13.15" customHeight="1">
      <c r="A6" s="58"/>
      <c r="B6" s="77"/>
      <c r="C6" s="78"/>
      <c r="D6" s="78"/>
      <c r="E6" s="78"/>
      <c r="F6" s="79"/>
      <c r="G6" s="80"/>
      <c r="H6" s="80"/>
      <c r="I6" s="78"/>
      <c r="J6" s="78"/>
      <c r="K6" s="78"/>
      <c r="L6" s="78"/>
      <c r="M6" s="81"/>
      <c r="N6" s="82"/>
      <c r="O6" s="83"/>
      <c r="P6" s="84"/>
    </row>
    <row r="7" spans="1:16" s="60" customFormat="1" ht="15" customHeight="1">
      <c r="A7" s="103" t="s">
        <v>168</v>
      </c>
      <c r="B7" s="177">
        <v>7068</v>
      </c>
      <c r="C7" s="178">
        <v>0</v>
      </c>
      <c r="D7" s="178">
        <v>0</v>
      </c>
      <c r="E7" s="179">
        <v>0</v>
      </c>
      <c r="F7" s="179">
        <v>0</v>
      </c>
      <c r="G7" s="179">
        <v>0</v>
      </c>
      <c r="H7" s="179">
        <v>0</v>
      </c>
      <c r="I7" s="179">
        <v>0</v>
      </c>
      <c r="J7" s="178">
        <v>0</v>
      </c>
      <c r="K7" s="83">
        <f>N7-SUM(B7:J7)</f>
        <v>0</v>
      </c>
      <c r="L7" s="85"/>
      <c r="M7" s="86"/>
      <c r="N7" s="82">
        <v>7068</v>
      </c>
      <c r="O7" s="87">
        <v>7090</v>
      </c>
      <c r="P7" s="84">
        <f>N7/O7</f>
        <v>0.99689703808180541</v>
      </c>
    </row>
    <row r="8" spans="1:16" s="60" customFormat="1" ht="15" customHeight="1">
      <c r="A8" s="103" t="s">
        <v>169</v>
      </c>
      <c r="B8" s="177">
        <v>0</v>
      </c>
      <c r="C8" s="178">
        <v>241</v>
      </c>
      <c r="D8" s="178">
        <v>1406</v>
      </c>
      <c r="E8" s="179">
        <v>1586</v>
      </c>
      <c r="F8" s="179">
        <v>2850</v>
      </c>
      <c r="G8" s="179">
        <v>1723</v>
      </c>
      <c r="H8" s="179">
        <v>1548</v>
      </c>
      <c r="I8" s="179">
        <v>362</v>
      </c>
      <c r="J8" s="178">
        <v>43</v>
      </c>
      <c r="K8" s="83">
        <f>N8-SUM(B8:J8)</f>
        <v>19</v>
      </c>
      <c r="L8" s="83"/>
      <c r="M8" s="86"/>
      <c r="N8" s="88">
        <v>9778</v>
      </c>
      <c r="O8" s="87">
        <v>10300</v>
      </c>
      <c r="P8" s="84">
        <f>N8/O8</f>
        <v>0.9493203883495146</v>
      </c>
    </row>
    <row r="9" spans="1:16" s="60" customFormat="1" ht="18" customHeight="1">
      <c r="A9" s="65" t="s">
        <v>170</v>
      </c>
      <c r="B9" s="177"/>
      <c r="C9" s="178"/>
      <c r="D9" s="178"/>
      <c r="E9" s="179"/>
      <c r="F9" s="179"/>
      <c r="G9" s="179"/>
      <c r="H9" s="179"/>
      <c r="I9" s="179"/>
      <c r="J9" s="179"/>
      <c r="K9" s="83"/>
      <c r="L9" s="85"/>
      <c r="M9" s="86"/>
      <c r="N9" s="180" t="s">
        <v>171</v>
      </c>
      <c r="O9" s="181">
        <v>2954</v>
      </c>
      <c r="P9" s="182" t="s">
        <v>171</v>
      </c>
    </row>
    <row r="10" spans="1:16" s="60" customFormat="1" ht="15" customHeight="1">
      <c r="A10" s="65"/>
      <c r="B10" s="177"/>
      <c r="C10" s="178"/>
      <c r="D10" s="178"/>
      <c r="E10" s="179"/>
      <c r="F10" s="179"/>
      <c r="G10" s="179"/>
      <c r="H10" s="179"/>
      <c r="I10" s="179"/>
      <c r="J10" s="179"/>
      <c r="K10" s="83"/>
      <c r="L10" s="85"/>
      <c r="M10" s="86"/>
      <c r="N10" s="180"/>
      <c r="O10" s="181"/>
      <c r="P10" s="182"/>
    </row>
    <row r="11" spans="1:16" s="60" customFormat="1" ht="16.899999999999999" customHeight="1">
      <c r="A11" s="105" t="s">
        <v>172</v>
      </c>
      <c r="B11" s="177">
        <v>1603</v>
      </c>
      <c r="C11" s="178">
        <v>52</v>
      </c>
      <c r="D11" s="178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83">
        <f>N11-SUM(B11:J11)</f>
        <v>0</v>
      </c>
      <c r="L11" s="85"/>
      <c r="M11" s="86"/>
      <c r="N11" s="82">
        <v>1655</v>
      </c>
      <c r="O11" s="87">
        <v>1656</v>
      </c>
      <c r="P11" s="84">
        <f>N11/O11</f>
        <v>0.99939613526570048</v>
      </c>
    </row>
    <row r="12" spans="1:16" s="188" customFormat="1" ht="18" customHeight="1">
      <c r="A12" s="105" t="s">
        <v>173</v>
      </c>
      <c r="B12" s="183">
        <v>59294</v>
      </c>
      <c r="C12" s="178">
        <v>0</v>
      </c>
      <c r="D12" s="178">
        <v>0</v>
      </c>
      <c r="E12" s="179">
        <v>57188</v>
      </c>
      <c r="F12" s="179">
        <v>0</v>
      </c>
      <c r="G12" s="179">
        <v>0</v>
      </c>
      <c r="H12" s="179">
        <v>39876</v>
      </c>
      <c r="I12" s="179">
        <v>0</v>
      </c>
      <c r="J12" s="179">
        <v>0</v>
      </c>
      <c r="K12" s="83">
        <f>N12-SUM(B12:J12)</f>
        <v>39962</v>
      </c>
      <c r="L12" s="185"/>
      <c r="M12" s="90"/>
      <c r="N12" s="82">
        <v>196320</v>
      </c>
      <c r="O12" s="186">
        <v>200000</v>
      </c>
      <c r="P12" s="187">
        <f>N12/O12</f>
        <v>0.98160000000000003</v>
      </c>
    </row>
    <row r="13" spans="1:16" s="188" customFormat="1" ht="10.9" customHeight="1">
      <c r="A13" s="189"/>
      <c r="B13" s="183"/>
      <c r="C13" s="190"/>
      <c r="D13" s="190"/>
      <c r="E13" s="184"/>
      <c r="F13" s="184"/>
      <c r="G13" s="184"/>
      <c r="H13" s="184"/>
      <c r="I13" s="184"/>
      <c r="J13" s="89"/>
      <c r="K13" s="89"/>
      <c r="L13" s="91"/>
      <c r="M13" s="90"/>
      <c r="N13" s="82"/>
      <c r="O13" s="191"/>
      <c r="P13" s="187"/>
    </row>
    <row r="14" spans="1:16" s="60" customFormat="1" ht="13.7" customHeight="1">
      <c r="A14" s="773" t="s">
        <v>40</v>
      </c>
      <c r="B14" s="774">
        <f t="shared" ref="B14:K14" si="0">SUM(B7:B13)</f>
        <v>67965</v>
      </c>
      <c r="C14" s="310">
        <f t="shared" si="0"/>
        <v>293</v>
      </c>
      <c r="D14" s="310">
        <f t="shared" si="0"/>
        <v>1406</v>
      </c>
      <c r="E14" s="310">
        <f t="shared" si="0"/>
        <v>58774</v>
      </c>
      <c r="F14" s="310">
        <f t="shared" si="0"/>
        <v>2850</v>
      </c>
      <c r="G14" s="310">
        <f t="shared" si="0"/>
        <v>1723</v>
      </c>
      <c r="H14" s="310">
        <f t="shared" si="0"/>
        <v>41424</v>
      </c>
      <c r="I14" s="310">
        <f t="shared" si="0"/>
        <v>362</v>
      </c>
      <c r="J14" s="310">
        <f t="shared" si="0"/>
        <v>43</v>
      </c>
      <c r="K14" s="310">
        <f t="shared" si="0"/>
        <v>39981</v>
      </c>
      <c r="L14" s="310"/>
      <c r="M14" s="310"/>
      <c r="N14" s="138">
        <f>SUM(N7:N13)</f>
        <v>214821</v>
      </c>
      <c r="O14" s="775">
        <f>SUM(O7:O13)</f>
        <v>222000</v>
      </c>
      <c r="P14" s="776">
        <f>N14/O14</f>
        <v>0.96766216216216216</v>
      </c>
    </row>
    <row r="15" spans="1:16" ht="15" customHeight="1">
      <c r="A15" s="46"/>
      <c r="B15" s="370"/>
      <c r="C15" s="370"/>
      <c r="D15" s="47"/>
      <c r="E15" s="371"/>
      <c r="F15" s="47"/>
      <c r="G15" s="46"/>
      <c r="H15" s="46"/>
      <c r="I15" s="46"/>
      <c r="J15" s="46"/>
      <c r="K15" s="46"/>
      <c r="L15" s="46"/>
      <c r="M15" s="46"/>
      <c r="N15" s="46"/>
      <c r="O15" s="47"/>
      <c r="P15" s="92"/>
    </row>
    <row r="16" spans="1:16" s="39" customFormat="1" ht="16.899999999999999" customHeight="1">
      <c r="A16" s="57" t="s">
        <v>147</v>
      </c>
      <c r="B16" s="57"/>
      <c r="C16" s="57"/>
      <c r="D16" s="57"/>
      <c r="E16" s="57"/>
      <c r="F16" s="50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8" s="39" customFormat="1" ht="13.15" customHeight="1">
      <c r="A17" s="176"/>
      <c r="B17" s="176"/>
      <c r="C17" s="176"/>
      <c r="D17" s="176"/>
      <c r="E17" s="176"/>
      <c r="F17" s="50"/>
      <c r="G17" s="32"/>
      <c r="H17" s="32"/>
      <c r="I17" s="32"/>
      <c r="J17" s="32"/>
      <c r="K17" s="32"/>
      <c r="L17" s="32"/>
      <c r="M17" s="32"/>
      <c r="N17" s="38"/>
      <c r="O17" s="32"/>
      <c r="P17" s="32"/>
    </row>
    <row r="18" spans="1:18" s="35" customFormat="1" ht="16.899999999999999" customHeight="1">
      <c r="A18" s="72" t="s">
        <v>174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R18" s="726"/>
    </row>
    <row r="19" spans="1:18" s="35" customFormat="1" ht="15.6" customHeight="1">
      <c r="A19" s="833" t="s">
        <v>175</v>
      </c>
      <c r="B19" s="833"/>
      <c r="C19" s="833"/>
      <c r="D19" s="833"/>
      <c r="E19" s="833"/>
      <c r="F19" s="833"/>
      <c r="G19" s="833"/>
      <c r="H19" s="833"/>
      <c r="I19" s="833"/>
      <c r="J19" s="833"/>
      <c r="K19" s="833"/>
      <c r="L19" s="833"/>
      <c r="M19" s="833"/>
      <c r="N19" s="833"/>
      <c r="O19" s="833"/>
      <c r="P19" s="833"/>
      <c r="R19" s="726"/>
    </row>
    <row r="20" spans="1:18" s="72" customFormat="1" ht="14.45" customHeight="1">
      <c r="A20" s="206" t="s">
        <v>176</v>
      </c>
      <c r="B20" s="93">
        <v>1656</v>
      </c>
      <c r="C20" s="728">
        <v>44470</v>
      </c>
      <c r="F20" s="94"/>
      <c r="H20" s="95"/>
      <c r="K20" s="94"/>
      <c r="O20" s="94"/>
      <c r="P20" s="94"/>
      <c r="R20" s="727"/>
    </row>
    <row r="21" spans="1:18" s="72" customFormat="1" ht="14.45" customHeight="1">
      <c r="A21" s="206" t="s">
        <v>177</v>
      </c>
      <c r="B21" s="93">
        <v>60000</v>
      </c>
      <c r="C21" s="728">
        <v>44477</v>
      </c>
      <c r="F21" s="94"/>
      <c r="H21" s="96"/>
      <c r="O21" s="94"/>
      <c r="R21" s="727"/>
    </row>
    <row r="22" spans="1:18" s="72" customFormat="1" ht="14.45" customHeight="1">
      <c r="A22" s="206" t="s">
        <v>178</v>
      </c>
      <c r="B22" s="93">
        <v>60000</v>
      </c>
      <c r="C22" s="728">
        <v>44582</v>
      </c>
      <c r="F22" s="97"/>
      <c r="G22" s="98"/>
      <c r="H22" s="97"/>
      <c r="I22" s="97"/>
      <c r="J22" s="99"/>
      <c r="K22" s="99"/>
      <c r="L22" s="99"/>
      <c r="M22" s="99"/>
      <c r="N22" s="99"/>
      <c r="O22" s="679"/>
      <c r="P22" s="100"/>
      <c r="R22" s="727"/>
    </row>
    <row r="23" spans="1:18" s="72" customFormat="1" ht="14.45" customHeight="1">
      <c r="A23" s="206" t="s">
        <v>179</v>
      </c>
      <c r="B23" s="93">
        <v>40000</v>
      </c>
      <c r="C23" s="728">
        <v>44666</v>
      </c>
      <c r="F23" s="94"/>
      <c r="H23" s="95"/>
      <c r="R23" s="727"/>
    </row>
    <row r="24" spans="1:18" s="72" customFormat="1" ht="14.45" customHeight="1">
      <c r="A24" s="206" t="s">
        <v>180</v>
      </c>
      <c r="B24" s="93">
        <v>40000</v>
      </c>
      <c r="C24" s="728">
        <v>44757</v>
      </c>
      <c r="D24" s="364"/>
      <c r="F24" s="94"/>
      <c r="H24" s="95"/>
      <c r="R24" s="727"/>
    </row>
    <row r="25" spans="1:18" s="32" customFormat="1" ht="14.25">
      <c r="K25" s="39"/>
    </row>
    <row r="26" spans="1:18">
      <c r="E26" s="40"/>
      <c r="F26" s="200"/>
      <c r="G26" s="200"/>
      <c r="H26" s="200"/>
      <c r="I26" s="200"/>
      <c r="J26" s="200"/>
      <c r="K26" s="200"/>
    </row>
    <row r="31" spans="1:18">
      <c r="E31" s="200"/>
      <c r="F31" s="200"/>
      <c r="G31" s="200"/>
      <c r="H31" s="200"/>
      <c r="I31" s="200"/>
      <c r="J31" s="38"/>
      <c r="K31" s="200"/>
    </row>
  </sheetData>
  <mergeCells count="3">
    <mergeCell ref="B5:M5"/>
    <mergeCell ref="N2:P2"/>
    <mergeCell ref="A19:P19"/>
  </mergeCells>
  <phoneticPr fontId="44" type="noConversion"/>
  <pageMargins left="0.5" right="0.17" top="1" bottom="0.17" header="0.17" footer="0.17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W55"/>
  <sheetViews>
    <sheetView showGridLines="0" zoomScaleNormal="100" zoomScaleSheetLayoutView="75" workbookViewId="0">
      <selection activeCell="P35" sqref="P35"/>
    </sheetView>
  </sheetViews>
  <sheetFormatPr defaultRowHeight="12.75"/>
  <cols>
    <col min="1" max="1" width="23.28515625" style="37" customWidth="1"/>
    <col min="2" max="2" width="10.28515625" style="60" customWidth="1"/>
    <col min="3" max="3" width="10.28515625" style="37" customWidth="1"/>
    <col min="4" max="4" width="9.7109375" style="37" customWidth="1"/>
    <col min="5" max="5" width="10" style="37" customWidth="1"/>
    <col min="6" max="6" width="9.42578125" style="37" customWidth="1"/>
    <col min="7" max="7" width="8.42578125" style="37" customWidth="1"/>
    <col min="8" max="8" width="9.140625" style="37" customWidth="1"/>
    <col min="9" max="9" width="9.42578125" style="37" customWidth="1"/>
    <col min="10" max="10" width="8.28515625" style="37" customWidth="1"/>
    <col min="11" max="11" width="9.28515625" style="37" customWidth="1"/>
    <col min="12" max="12" width="8.85546875" style="37" customWidth="1"/>
    <col min="13" max="14" width="8.28515625" style="37" customWidth="1"/>
    <col min="15" max="15" width="9.140625" style="37" customWidth="1"/>
    <col min="16" max="16" width="9.28515625" style="37" customWidth="1"/>
    <col min="17" max="17" width="10.85546875" style="200" customWidth="1"/>
    <col min="18" max="18" width="9.7109375" style="37" customWidth="1"/>
    <col min="19" max="19" width="9.5703125" style="136" customWidth="1"/>
    <col min="20" max="20" width="8.85546875" style="1"/>
  </cols>
  <sheetData>
    <row r="1" spans="1:21" s="19" customFormat="1" ht="28.5" customHeight="1">
      <c r="A1" s="836" t="s">
        <v>181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223"/>
    </row>
    <row r="2" spans="1:21" s="1" customFormat="1" ht="29.25" customHeight="1">
      <c r="A2" s="224"/>
      <c r="B2" s="756" t="s">
        <v>182</v>
      </c>
      <c r="C2" s="452" t="s">
        <v>86</v>
      </c>
      <c r="D2" s="73" t="s">
        <v>183</v>
      </c>
      <c r="E2" s="73" t="s">
        <v>184</v>
      </c>
      <c r="F2" s="834" t="s">
        <v>185</v>
      </c>
      <c r="G2" s="835"/>
      <c r="H2" s="137" t="s">
        <v>89</v>
      </c>
      <c r="I2" s="73" t="s">
        <v>90</v>
      </c>
      <c r="J2" s="73" t="s">
        <v>91</v>
      </c>
      <c r="K2" s="73" t="s">
        <v>92</v>
      </c>
      <c r="L2" s="73" t="s">
        <v>93</v>
      </c>
      <c r="M2" s="137" t="s">
        <v>94</v>
      </c>
      <c r="N2" s="73" t="s">
        <v>95</v>
      </c>
      <c r="O2" s="73" t="s">
        <v>58</v>
      </c>
      <c r="P2" s="74" t="s">
        <v>59</v>
      </c>
      <c r="Q2" s="837" t="s">
        <v>186</v>
      </c>
      <c r="R2" s="838"/>
      <c r="S2" s="106" t="s">
        <v>187</v>
      </c>
    </row>
    <row r="3" spans="1:21" s="16" customFormat="1" ht="34.15" customHeight="1">
      <c r="A3" s="261"/>
      <c r="B3" s="442" t="s">
        <v>188</v>
      </c>
      <c r="C3" s="451">
        <v>44501</v>
      </c>
      <c r="D3" s="451">
        <v>44529</v>
      </c>
      <c r="E3" s="451">
        <v>44561</v>
      </c>
      <c r="F3" s="443" t="s">
        <v>189</v>
      </c>
      <c r="G3" s="444" t="s">
        <v>166</v>
      </c>
      <c r="H3" s="451">
        <v>44592</v>
      </c>
      <c r="I3" s="451">
        <v>44620</v>
      </c>
      <c r="J3" s="451">
        <v>44655</v>
      </c>
      <c r="K3" s="451">
        <v>44683</v>
      </c>
      <c r="L3" s="451">
        <v>44711</v>
      </c>
      <c r="M3" s="451">
        <v>44747</v>
      </c>
      <c r="N3" s="451">
        <v>44774</v>
      </c>
      <c r="O3" s="451">
        <v>44802</v>
      </c>
      <c r="P3" s="451">
        <v>44834</v>
      </c>
      <c r="Q3" s="443" t="s">
        <v>190</v>
      </c>
      <c r="R3" s="443" t="s">
        <v>166</v>
      </c>
      <c r="S3" s="443" t="s">
        <v>165</v>
      </c>
    </row>
    <row r="4" spans="1:21" s="1" customFormat="1" ht="13.9" customHeight="1">
      <c r="A4" s="225"/>
      <c r="B4" s="839" t="s">
        <v>106</v>
      </c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1"/>
    </row>
    <row r="5" spans="1:21" ht="12.75" customHeight="1">
      <c r="A5" s="226"/>
      <c r="B5" s="226"/>
      <c r="C5" s="227"/>
      <c r="D5" s="227"/>
      <c r="E5" s="227"/>
      <c r="F5" s="228"/>
      <c r="G5" s="228"/>
      <c r="H5" s="227"/>
      <c r="I5" s="227"/>
      <c r="J5" s="227"/>
      <c r="K5" s="227"/>
      <c r="L5" s="227"/>
      <c r="M5" s="227"/>
      <c r="N5" s="227"/>
      <c r="O5" s="227"/>
      <c r="P5" s="227"/>
      <c r="Q5" s="228"/>
      <c r="R5" s="228"/>
      <c r="S5" s="229"/>
      <c r="U5" s="200"/>
    </row>
    <row r="6" spans="1:21" ht="13.7" customHeight="1">
      <c r="A6" s="121" t="s">
        <v>191</v>
      </c>
      <c r="B6" s="230">
        <f t="shared" ref="B6:N6" si="0">SUM(B7:B13)</f>
        <v>129725</v>
      </c>
      <c r="C6" s="231">
        <f t="shared" si="0"/>
        <v>3259</v>
      </c>
      <c r="D6" s="248">
        <f t="shared" si="0"/>
        <v>6888</v>
      </c>
      <c r="E6" s="248">
        <f t="shared" si="0"/>
        <v>2853</v>
      </c>
      <c r="F6" s="232">
        <f t="shared" si="0"/>
        <v>142725</v>
      </c>
      <c r="G6" s="232">
        <f t="shared" si="0"/>
        <v>142780</v>
      </c>
      <c r="H6" s="233">
        <f t="shared" si="0"/>
        <v>14325</v>
      </c>
      <c r="I6" s="234">
        <f t="shared" si="0"/>
        <v>32066</v>
      </c>
      <c r="J6" s="234">
        <f t="shared" si="0"/>
        <v>12505</v>
      </c>
      <c r="K6" s="234">
        <f t="shared" si="0"/>
        <v>14163</v>
      </c>
      <c r="L6" s="234">
        <f t="shared" si="0"/>
        <v>12791</v>
      </c>
      <c r="M6" s="234">
        <f t="shared" si="0"/>
        <v>14804</v>
      </c>
      <c r="N6" s="234">
        <f t="shared" si="0"/>
        <v>16307</v>
      </c>
      <c r="O6" s="234"/>
      <c r="P6" s="234"/>
      <c r="Q6" s="232">
        <f>SUM(Q7:Q13)</f>
        <v>116961</v>
      </c>
      <c r="R6" s="232">
        <f>SUM(R7:R13)</f>
        <v>145220</v>
      </c>
      <c r="S6" s="230">
        <f>SUM(S7:S13)</f>
        <v>129961</v>
      </c>
      <c r="U6" s="200"/>
    </row>
    <row r="7" spans="1:21" ht="15" customHeight="1">
      <c r="A7" s="306" t="s">
        <v>115</v>
      </c>
      <c r="B7" s="235">
        <v>14300</v>
      </c>
      <c r="C7" s="236">
        <v>0</v>
      </c>
      <c r="D7" s="140">
        <v>0</v>
      </c>
      <c r="E7" s="140">
        <f>F7-B7-C7-D7</f>
        <v>0</v>
      </c>
      <c r="F7" s="132">
        <v>14300</v>
      </c>
      <c r="G7" s="237">
        <v>14300</v>
      </c>
      <c r="H7" s="253">
        <v>800</v>
      </c>
      <c r="I7" s="239">
        <v>849</v>
      </c>
      <c r="J7" s="239">
        <v>1826</v>
      </c>
      <c r="K7" s="239">
        <v>619</v>
      </c>
      <c r="L7" s="238">
        <v>375</v>
      </c>
      <c r="M7" s="238">
        <v>625</v>
      </c>
      <c r="N7" s="238">
        <f>Q7-SUM(H7:M7)</f>
        <v>320</v>
      </c>
      <c r="O7" s="238"/>
      <c r="P7" s="240"/>
      <c r="Q7" s="241">
        <v>5414</v>
      </c>
      <c r="R7" s="241">
        <v>14520</v>
      </c>
      <c r="S7" s="241">
        <f t="shared" ref="S7:S15" si="1">C7+D7+E7+SUM(H7:P7)</f>
        <v>5414</v>
      </c>
      <c r="U7" s="40"/>
    </row>
    <row r="8" spans="1:21" ht="15" customHeight="1">
      <c r="A8" s="306" t="s">
        <v>192</v>
      </c>
      <c r="B8" s="235">
        <v>2000</v>
      </c>
      <c r="C8" s="236">
        <v>0</v>
      </c>
      <c r="D8" s="140">
        <v>0</v>
      </c>
      <c r="E8" s="140">
        <f t="shared" ref="E8:E15" si="2">F8-B8-C8-D8</f>
        <v>0</v>
      </c>
      <c r="F8" s="132">
        <v>2000</v>
      </c>
      <c r="G8" s="237">
        <v>2000</v>
      </c>
      <c r="H8" s="253">
        <v>60</v>
      </c>
      <c r="I8" s="239">
        <v>0</v>
      </c>
      <c r="J8" s="239">
        <v>362</v>
      </c>
      <c r="K8" s="239">
        <v>80</v>
      </c>
      <c r="L8" s="238">
        <v>60</v>
      </c>
      <c r="M8" s="238">
        <v>290</v>
      </c>
      <c r="N8" s="238">
        <f t="shared" ref="N8:N15" si="3">Q8-SUM(H8:M8)</f>
        <v>98</v>
      </c>
      <c r="O8" s="238"/>
      <c r="P8" s="240"/>
      <c r="Q8" s="241">
        <v>950</v>
      </c>
      <c r="R8" s="241">
        <v>2000</v>
      </c>
      <c r="S8" s="241">
        <f t="shared" si="1"/>
        <v>950</v>
      </c>
      <c r="U8" s="40"/>
    </row>
    <row r="9" spans="1:21" ht="15" customHeight="1">
      <c r="A9" s="306" t="s">
        <v>193</v>
      </c>
      <c r="B9" s="235">
        <v>0</v>
      </c>
      <c r="C9" s="236">
        <v>0</v>
      </c>
      <c r="D9" s="140">
        <v>0</v>
      </c>
      <c r="E9" s="140">
        <f t="shared" si="2"/>
        <v>0</v>
      </c>
      <c r="F9" s="132">
        <v>0</v>
      </c>
      <c r="G9" s="237">
        <v>0</v>
      </c>
      <c r="H9" s="253">
        <v>0</v>
      </c>
      <c r="I9" s="239">
        <v>0</v>
      </c>
      <c r="J9" s="239">
        <v>0</v>
      </c>
      <c r="K9" s="239">
        <v>0</v>
      </c>
      <c r="L9" s="238">
        <v>0</v>
      </c>
      <c r="M9" s="238">
        <v>0</v>
      </c>
      <c r="N9" s="238">
        <f t="shared" si="3"/>
        <v>0</v>
      </c>
      <c r="O9" s="238"/>
      <c r="P9" s="240"/>
      <c r="Q9" s="241">
        <v>0</v>
      </c>
      <c r="R9" s="241">
        <v>0</v>
      </c>
      <c r="S9" s="241">
        <f t="shared" si="1"/>
        <v>0</v>
      </c>
      <c r="U9" s="40"/>
    </row>
    <row r="10" spans="1:21" ht="15" customHeight="1">
      <c r="A10" s="306" t="s">
        <v>119</v>
      </c>
      <c r="B10" s="235">
        <v>36467</v>
      </c>
      <c r="C10" s="236">
        <v>21</v>
      </c>
      <c r="D10" s="140">
        <v>232</v>
      </c>
      <c r="E10" s="140">
        <f t="shared" si="2"/>
        <v>0</v>
      </c>
      <c r="F10" s="132">
        <v>36720</v>
      </c>
      <c r="G10" s="237">
        <v>36720</v>
      </c>
      <c r="H10" s="253">
        <v>736</v>
      </c>
      <c r="I10" s="239">
        <v>2822</v>
      </c>
      <c r="J10" s="239">
        <v>2812</v>
      </c>
      <c r="K10" s="239">
        <v>4072</v>
      </c>
      <c r="L10" s="238">
        <v>3549</v>
      </c>
      <c r="M10" s="238">
        <v>8482</v>
      </c>
      <c r="N10" s="238">
        <f t="shared" si="3"/>
        <v>6126</v>
      </c>
      <c r="O10" s="238"/>
      <c r="P10" s="240"/>
      <c r="Q10" s="241">
        <v>28599</v>
      </c>
      <c r="R10" s="241">
        <v>37400</v>
      </c>
      <c r="S10" s="241">
        <f t="shared" si="1"/>
        <v>28852</v>
      </c>
      <c r="U10" s="40"/>
    </row>
    <row r="11" spans="1:21" ht="15" customHeight="1">
      <c r="A11" s="306" t="s">
        <v>194</v>
      </c>
      <c r="B11" s="235">
        <v>38825</v>
      </c>
      <c r="C11" s="236">
        <v>3234</v>
      </c>
      <c r="D11" s="140">
        <v>5908</v>
      </c>
      <c r="E11" s="140">
        <f t="shared" si="2"/>
        <v>2793</v>
      </c>
      <c r="F11" s="132">
        <v>50760</v>
      </c>
      <c r="G11" s="237">
        <v>50760</v>
      </c>
      <c r="H11" s="253">
        <v>989</v>
      </c>
      <c r="I11" s="239">
        <v>11653</v>
      </c>
      <c r="J11" s="239">
        <v>5921</v>
      </c>
      <c r="K11" s="239">
        <v>8357</v>
      </c>
      <c r="L11" s="238">
        <v>8268</v>
      </c>
      <c r="M11" s="238">
        <v>1817</v>
      </c>
      <c r="N11" s="238">
        <f t="shared" si="3"/>
        <v>9162</v>
      </c>
      <c r="O11" s="238"/>
      <c r="P11" s="240"/>
      <c r="Q11" s="241">
        <v>46167</v>
      </c>
      <c r="R11" s="241">
        <v>51700</v>
      </c>
      <c r="S11" s="241">
        <f t="shared" si="1"/>
        <v>58102</v>
      </c>
      <c r="T11" s="531"/>
      <c r="U11" s="40"/>
    </row>
    <row r="12" spans="1:21" ht="15" customHeight="1">
      <c r="A12" s="306" t="s">
        <v>126</v>
      </c>
      <c r="B12" s="235">
        <v>10276</v>
      </c>
      <c r="C12" s="236">
        <v>4</v>
      </c>
      <c r="D12" s="140">
        <v>5</v>
      </c>
      <c r="E12" s="140">
        <f t="shared" si="2"/>
        <v>60</v>
      </c>
      <c r="F12" s="132">
        <v>10345</v>
      </c>
      <c r="G12" s="237">
        <v>10400</v>
      </c>
      <c r="H12" s="253">
        <v>0</v>
      </c>
      <c r="I12" s="239">
        <v>2</v>
      </c>
      <c r="J12" s="239">
        <v>1584</v>
      </c>
      <c r="K12" s="239">
        <v>707</v>
      </c>
      <c r="L12" s="238">
        <v>539</v>
      </c>
      <c r="M12" s="238">
        <v>3590</v>
      </c>
      <c r="N12" s="238">
        <f t="shared" si="3"/>
        <v>601</v>
      </c>
      <c r="O12" s="238"/>
      <c r="P12" s="240"/>
      <c r="Q12" s="241">
        <v>7023</v>
      </c>
      <c r="R12" s="241">
        <v>10560</v>
      </c>
      <c r="S12" s="241">
        <f t="shared" si="1"/>
        <v>7092</v>
      </c>
      <c r="U12" s="40"/>
    </row>
    <row r="13" spans="1:21" ht="15" customHeight="1">
      <c r="A13" s="306" t="s">
        <v>134</v>
      </c>
      <c r="B13" s="235">
        <v>27857</v>
      </c>
      <c r="C13" s="236">
        <v>0</v>
      </c>
      <c r="D13" s="140">
        <v>743</v>
      </c>
      <c r="E13" s="140">
        <f t="shared" si="2"/>
        <v>0</v>
      </c>
      <c r="F13" s="132">
        <v>28600</v>
      </c>
      <c r="G13" s="237">
        <v>28600</v>
      </c>
      <c r="H13" s="389">
        <v>11740</v>
      </c>
      <c r="I13" s="239">
        <v>16740</v>
      </c>
      <c r="J13" s="239">
        <v>0</v>
      </c>
      <c r="K13" s="239">
        <v>328</v>
      </c>
      <c r="L13" s="238">
        <v>0</v>
      </c>
      <c r="M13" s="238">
        <v>0</v>
      </c>
      <c r="N13" s="238">
        <f t="shared" si="3"/>
        <v>0</v>
      </c>
      <c r="O13" s="238"/>
      <c r="P13" s="240"/>
      <c r="Q13" s="241">
        <v>28808</v>
      </c>
      <c r="R13" s="241">
        <v>29040</v>
      </c>
      <c r="S13" s="241">
        <f t="shared" si="1"/>
        <v>29551</v>
      </c>
      <c r="U13" s="40"/>
    </row>
    <row r="14" spans="1:21" ht="12.2" customHeight="1">
      <c r="A14" s="242"/>
      <c r="B14" s="241"/>
      <c r="C14" s="236"/>
      <c r="D14" s="140"/>
      <c r="E14" s="140"/>
      <c r="F14" s="132"/>
      <c r="G14" s="120"/>
      <c r="H14" s="238"/>
      <c r="I14" s="239"/>
      <c r="J14" s="239"/>
      <c r="K14" s="239"/>
      <c r="L14" s="238"/>
      <c r="M14" s="238"/>
      <c r="N14" s="238"/>
      <c r="O14" s="238"/>
      <c r="P14" s="240"/>
      <c r="Q14" s="241"/>
      <c r="R14" s="241"/>
      <c r="S14" s="241"/>
      <c r="U14" s="200"/>
    </row>
    <row r="15" spans="1:21" ht="15" customHeight="1">
      <c r="A15" s="243" t="s">
        <v>113</v>
      </c>
      <c r="B15" s="244">
        <v>34449</v>
      </c>
      <c r="C15" s="245">
        <v>7212</v>
      </c>
      <c r="D15" s="246">
        <v>8888</v>
      </c>
      <c r="E15" s="246">
        <f t="shared" si="2"/>
        <v>3701</v>
      </c>
      <c r="F15" s="247">
        <v>54250</v>
      </c>
      <c r="G15" s="232">
        <v>56750</v>
      </c>
      <c r="H15" s="234">
        <v>1752</v>
      </c>
      <c r="I15" s="248">
        <v>2299</v>
      </c>
      <c r="J15" s="248">
        <v>3312</v>
      </c>
      <c r="K15" s="248">
        <v>5972</v>
      </c>
      <c r="L15" s="234">
        <v>2700</v>
      </c>
      <c r="M15" s="234">
        <v>6036</v>
      </c>
      <c r="N15" s="234">
        <f t="shared" si="3"/>
        <v>2195</v>
      </c>
      <c r="O15" s="234"/>
      <c r="P15" s="249"/>
      <c r="Q15" s="244">
        <v>24266</v>
      </c>
      <c r="R15" s="465">
        <v>57500</v>
      </c>
      <c r="S15" s="244">
        <f t="shared" si="1"/>
        <v>44067</v>
      </c>
      <c r="T15" s="531"/>
      <c r="U15" s="200"/>
    </row>
    <row r="16" spans="1:21" ht="12.2" customHeight="1">
      <c r="A16" s="250"/>
      <c r="B16" s="251"/>
      <c r="C16" s="236"/>
      <c r="D16" s="140"/>
      <c r="E16" s="140"/>
      <c r="F16" s="132"/>
      <c r="G16" s="196"/>
      <c r="H16" s="238"/>
      <c r="I16" s="239"/>
      <c r="J16" s="239"/>
      <c r="K16" s="239"/>
      <c r="L16" s="238"/>
      <c r="M16" s="238"/>
      <c r="N16" s="238"/>
      <c r="O16" s="140"/>
      <c r="P16" s="238"/>
      <c r="Q16" s="251"/>
      <c r="R16" s="251"/>
      <c r="S16" s="241"/>
      <c r="U16" s="200"/>
    </row>
    <row r="17" spans="1:23" ht="13.7" customHeight="1">
      <c r="A17" s="250" t="s">
        <v>195</v>
      </c>
      <c r="B17" s="232">
        <f>SUM(B18:B20)</f>
        <v>4950</v>
      </c>
      <c r="C17" s="252">
        <f>SUM(C18:C20)</f>
        <v>15</v>
      </c>
      <c r="D17" s="515">
        <f>SUM(D18:D20)</f>
        <v>135</v>
      </c>
      <c r="E17" s="515">
        <f>SUM(E18:E20)</f>
        <v>891</v>
      </c>
      <c r="F17" s="232">
        <f>SUM(F18:F20)</f>
        <v>5991</v>
      </c>
      <c r="G17" s="232">
        <v>7100</v>
      </c>
      <c r="H17" s="234">
        <f t="shared" ref="H17:N17" si="4">SUM(H18:H20)</f>
        <v>0</v>
      </c>
      <c r="I17" s="234">
        <f t="shared" si="4"/>
        <v>0</v>
      </c>
      <c r="J17" s="234">
        <f t="shared" si="4"/>
        <v>0</v>
      </c>
      <c r="K17" s="234">
        <f t="shared" si="4"/>
        <v>0</v>
      </c>
      <c r="L17" s="234">
        <f t="shared" si="4"/>
        <v>0</v>
      </c>
      <c r="M17" s="234">
        <f t="shared" si="4"/>
        <v>0</v>
      </c>
      <c r="N17" s="234">
        <f t="shared" si="4"/>
        <v>4500</v>
      </c>
      <c r="O17" s="234"/>
      <c r="P17" s="246"/>
      <c r="Q17" s="247">
        <f>SUM(Q18:Q20)</f>
        <v>4500</v>
      </c>
      <c r="R17" s="247">
        <f>SUM(R18:R20)</f>
        <v>7100</v>
      </c>
      <c r="S17" s="232">
        <f>SUM(S18:S20)</f>
        <v>5541</v>
      </c>
      <c r="U17" s="200"/>
      <c r="V17" s="200"/>
      <c r="W17" s="200"/>
    </row>
    <row r="18" spans="1:23" ht="15" customHeight="1">
      <c r="A18" s="307" t="s">
        <v>196</v>
      </c>
      <c r="B18" s="253">
        <v>0</v>
      </c>
      <c r="C18" s="236">
        <v>0</v>
      </c>
      <c r="D18" s="140">
        <v>0</v>
      </c>
      <c r="E18" s="140">
        <f>F18-B18-C18-D18</f>
        <v>0</v>
      </c>
      <c r="F18" s="132">
        <v>0</v>
      </c>
      <c r="G18" s="237">
        <v>0</v>
      </c>
      <c r="H18" s="238">
        <v>0</v>
      </c>
      <c r="I18" s="239">
        <v>0</v>
      </c>
      <c r="J18" s="239">
        <v>0</v>
      </c>
      <c r="K18" s="238">
        <v>0</v>
      </c>
      <c r="L18" s="238">
        <v>0</v>
      </c>
      <c r="M18" s="238">
        <v>0</v>
      </c>
      <c r="N18" s="238">
        <f t="shared" ref="N18:N20" si="5">Q18-SUM(H18:M18)</f>
        <v>0</v>
      </c>
      <c r="O18" s="140"/>
      <c r="P18" s="238"/>
      <c r="Q18" s="251">
        <v>0</v>
      </c>
      <c r="R18" s="466">
        <v>0</v>
      </c>
      <c r="S18" s="241">
        <f>C18+D18+E18+SUM(H18:P18)</f>
        <v>0</v>
      </c>
      <c r="U18" s="200"/>
      <c r="V18" s="200"/>
      <c r="W18" s="40"/>
    </row>
    <row r="19" spans="1:23" ht="15" customHeight="1">
      <c r="A19" s="250" t="s">
        <v>197</v>
      </c>
      <c r="B19" s="253">
        <v>4950</v>
      </c>
      <c r="C19" s="236">
        <v>15</v>
      </c>
      <c r="D19" s="140">
        <v>135</v>
      </c>
      <c r="E19" s="140">
        <f>F19-B19-C19-D19</f>
        <v>891</v>
      </c>
      <c r="F19" s="132">
        <v>5991</v>
      </c>
      <c r="G19" s="237">
        <v>6600</v>
      </c>
      <c r="H19" s="238">
        <v>0</v>
      </c>
      <c r="I19" s="239">
        <v>0</v>
      </c>
      <c r="J19" s="239">
        <v>0</v>
      </c>
      <c r="K19" s="238">
        <v>0</v>
      </c>
      <c r="L19" s="238">
        <v>0</v>
      </c>
      <c r="M19" s="254">
        <v>0</v>
      </c>
      <c r="N19" s="238">
        <f t="shared" si="5"/>
        <v>4500</v>
      </c>
      <c r="O19" s="140"/>
      <c r="P19" s="238"/>
      <c r="Q19" s="251">
        <v>4500</v>
      </c>
      <c r="R19" s="466">
        <v>6600</v>
      </c>
      <c r="S19" s="241">
        <f>C19+D19+E19+SUM(H19:P19)</f>
        <v>5541</v>
      </c>
      <c r="U19" s="200"/>
      <c r="V19" s="200"/>
      <c r="W19" s="40"/>
    </row>
    <row r="20" spans="1:23" ht="15" customHeight="1">
      <c r="A20" s="250" t="s">
        <v>198</v>
      </c>
      <c r="B20" s="253">
        <v>0</v>
      </c>
      <c r="C20" s="236">
        <v>0</v>
      </c>
      <c r="D20" s="140">
        <v>0</v>
      </c>
      <c r="E20" s="140">
        <f>F20-B20-C20-D20</f>
        <v>0</v>
      </c>
      <c r="F20" s="132">
        <v>0</v>
      </c>
      <c r="G20" s="237">
        <v>500</v>
      </c>
      <c r="H20" s="238">
        <v>0</v>
      </c>
      <c r="I20" s="239">
        <v>0</v>
      </c>
      <c r="J20" s="239">
        <v>0</v>
      </c>
      <c r="K20" s="238">
        <v>0</v>
      </c>
      <c r="L20" s="238">
        <v>0</v>
      </c>
      <c r="M20" s="238">
        <v>0</v>
      </c>
      <c r="N20" s="238">
        <f t="shared" si="5"/>
        <v>0</v>
      </c>
      <c r="O20" s="140"/>
      <c r="P20" s="238"/>
      <c r="Q20" s="251">
        <v>0</v>
      </c>
      <c r="R20" s="466">
        <v>500</v>
      </c>
      <c r="S20" s="241">
        <f>C20+D20+E20+SUM(H20:P20)</f>
        <v>0</v>
      </c>
      <c r="U20" s="200"/>
      <c r="V20" s="200"/>
      <c r="W20" s="40"/>
    </row>
    <row r="21" spans="1:23" ht="11.45" customHeight="1">
      <c r="A21" s="121"/>
      <c r="B21" s="251"/>
      <c r="C21" s="236"/>
      <c r="D21" s="140"/>
      <c r="E21" s="140"/>
      <c r="F21" s="132"/>
      <c r="G21" s="196"/>
      <c r="H21" s="238"/>
      <c r="I21" s="239"/>
      <c r="J21" s="239"/>
      <c r="K21" s="238"/>
      <c r="L21" s="238"/>
      <c r="M21" s="238"/>
      <c r="N21" s="238"/>
      <c r="O21" s="140"/>
      <c r="P21" s="238"/>
      <c r="Q21" s="251"/>
      <c r="R21" s="251"/>
      <c r="S21" s="241"/>
      <c r="U21" s="200"/>
      <c r="V21" s="200"/>
      <c r="W21" s="40"/>
    </row>
    <row r="22" spans="1:23" ht="13.7" customHeight="1">
      <c r="A22" s="120" t="s">
        <v>199</v>
      </c>
      <c r="B22" s="232">
        <v>0</v>
      </c>
      <c r="C22" s="255">
        <v>0</v>
      </c>
      <c r="D22" s="246">
        <v>0</v>
      </c>
      <c r="E22" s="246">
        <v>0</v>
      </c>
      <c r="F22" s="247">
        <f>SUM(F23:F24)</f>
        <v>0</v>
      </c>
      <c r="G22" s="232">
        <v>2000</v>
      </c>
      <c r="H22" s="233">
        <f t="shared" ref="H22:N22" si="6">SUM(H23:H24)</f>
        <v>0</v>
      </c>
      <c r="I22" s="234">
        <f t="shared" si="6"/>
        <v>0</v>
      </c>
      <c r="J22" s="234">
        <f t="shared" si="6"/>
        <v>0</v>
      </c>
      <c r="K22" s="234">
        <f t="shared" si="6"/>
        <v>0</v>
      </c>
      <c r="L22" s="234">
        <f t="shared" si="6"/>
        <v>0</v>
      </c>
      <c r="M22" s="234">
        <f t="shared" si="6"/>
        <v>0</v>
      </c>
      <c r="N22" s="234">
        <f t="shared" si="6"/>
        <v>0</v>
      </c>
      <c r="O22" s="234"/>
      <c r="P22" s="234"/>
      <c r="Q22" s="232">
        <f>SUM(Q23:Q24)</f>
        <v>0</v>
      </c>
      <c r="R22" s="232">
        <f>SUM(R23:R24)</f>
        <v>2000</v>
      </c>
      <c r="S22" s="232">
        <f>SUM(S23:S24)</f>
        <v>0</v>
      </c>
      <c r="U22" s="200"/>
      <c r="V22" s="200"/>
      <c r="W22" s="40"/>
    </row>
    <row r="23" spans="1:23" ht="16.899999999999999" customHeight="1">
      <c r="A23" s="307" t="s">
        <v>200</v>
      </c>
      <c r="B23" s="251">
        <v>0</v>
      </c>
      <c r="C23" s="236">
        <f>F23-B23</f>
        <v>0</v>
      </c>
      <c r="D23" s="140">
        <v>0</v>
      </c>
      <c r="E23" s="140">
        <f>F23-B23-C23-D23</f>
        <v>0</v>
      </c>
      <c r="F23" s="132">
        <v>0</v>
      </c>
      <c r="G23" s="251">
        <v>0</v>
      </c>
      <c r="H23" s="238">
        <v>0</v>
      </c>
      <c r="I23" s="239">
        <v>0</v>
      </c>
      <c r="J23" s="239">
        <v>0</v>
      </c>
      <c r="K23" s="238">
        <v>0</v>
      </c>
      <c r="L23" s="238">
        <v>0</v>
      </c>
      <c r="M23" s="238">
        <v>0</v>
      </c>
      <c r="N23" s="238">
        <f t="shared" ref="N23:N24" si="7">Q23-SUM(H23:M23)</f>
        <v>0</v>
      </c>
      <c r="O23" s="140"/>
      <c r="P23" s="238"/>
      <c r="Q23" s="251">
        <v>0</v>
      </c>
      <c r="R23" s="251">
        <v>0</v>
      </c>
      <c r="S23" s="241">
        <f>C23+D23+E23+SUM(H23:P23)</f>
        <v>0</v>
      </c>
      <c r="U23" s="200"/>
      <c r="V23" s="200"/>
      <c r="W23" s="40"/>
    </row>
    <row r="24" spans="1:23" ht="13.7" customHeight="1">
      <c r="A24" s="307" t="s">
        <v>201</v>
      </c>
      <c r="B24" s="241">
        <v>0</v>
      </c>
      <c r="C24" s="236">
        <f>F24-B24</f>
        <v>0</v>
      </c>
      <c r="D24" s="140">
        <v>0</v>
      </c>
      <c r="E24" s="140">
        <f>F24-B24-C24-D24</f>
        <v>0</v>
      </c>
      <c r="F24" s="132">
        <v>0</v>
      </c>
      <c r="G24" s="251">
        <v>2000</v>
      </c>
      <c r="H24" s="238">
        <v>0</v>
      </c>
      <c r="I24" s="239">
        <v>0</v>
      </c>
      <c r="J24" s="239">
        <v>0</v>
      </c>
      <c r="K24" s="238">
        <v>0</v>
      </c>
      <c r="L24" s="238">
        <v>0</v>
      </c>
      <c r="M24" s="238">
        <v>0</v>
      </c>
      <c r="N24" s="238">
        <f t="shared" si="7"/>
        <v>0</v>
      </c>
      <c r="O24" s="140"/>
      <c r="P24" s="240"/>
      <c r="Q24" s="241">
        <v>0</v>
      </c>
      <c r="R24" s="241">
        <v>2000</v>
      </c>
      <c r="S24" s="241">
        <f>C24+D24+E24+SUM(H24:P24)</f>
        <v>0</v>
      </c>
      <c r="U24" s="200"/>
      <c r="V24" s="200"/>
      <c r="W24" s="40"/>
    </row>
    <row r="25" spans="1:23" s="136" customFormat="1" ht="13.7" customHeight="1">
      <c r="A25" s="243"/>
      <c r="B25" s="241"/>
      <c r="C25" s="236"/>
      <c r="D25" s="140"/>
      <c r="E25" s="140"/>
      <c r="F25" s="132"/>
      <c r="G25" s="251"/>
      <c r="H25" s="238"/>
      <c r="I25" s="239"/>
      <c r="J25" s="239"/>
      <c r="K25" s="238"/>
      <c r="L25" s="238"/>
      <c r="M25" s="238"/>
      <c r="N25" s="238"/>
      <c r="O25" s="140"/>
      <c r="P25" s="240"/>
      <c r="Q25" s="241"/>
      <c r="R25" s="241"/>
      <c r="S25" s="241"/>
      <c r="T25" s="1"/>
      <c r="U25" s="200"/>
      <c r="V25" s="200"/>
      <c r="W25" s="200"/>
    </row>
    <row r="26" spans="1:23" s="136" customFormat="1" ht="13.7" customHeight="1">
      <c r="A26" s="243" t="s">
        <v>202</v>
      </c>
      <c r="B26" s="244">
        <f>SUM(B27:B28)</f>
        <v>8207</v>
      </c>
      <c r="C26" s="245">
        <f>SUM(C27:C28)</f>
        <v>663</v>
      </c>
      <c r="D26" s="516">
        <f>SUM(D27:D28)</f>
        <v>730</v>
      </c>
      <c r="E26" s="516">
        <f>SUM(E27:E28)</f>
        <v>0</v>
      </c>
      <c r="F26" s="247">
        <f>F27+F28</f>
        <v>9600</v>
      </c>
      <c r="G26" s="244">
        <v>9600</v>
      </c>
      <c r="H26" s="234">
        <f t="shared" ref="H26:N26" si="8">SUM(H27:H28)</f>
        <v>0</v>
      </c>
      <c r="I26" s="234">
        <f t="shared" si="8"/>
        <v>0</v>
      </c>
      <c r="J26" s="234">
        <f t="shared" si="8"/>
        <v>0</v>
      </c>
      <c r="K26" s="234">
        <f t="shared" si="8"/>
        <v>0</v>
      </c>
      <c r="L26" s="234">
        <f t="shared" si="8"/>
        <v>1760</v>
      </c>
      <c r="M26" s="234">
        <f t="shared" si="8"/>
        <v>2444</v>
      </c>
      <c r="N26" s="234">
        <f t="shared" si="8"/>
        <v>911</v>
      </c>
      <c r="O26" s="234"/>
      <c r="P26" s="234"/>
      <c r="Q26" s="232">
        <f>SUM(Q27:Q28)</f>
        <v>5115</v>
      </c>
      <c r="R26" s="232">
        <f>SUM(R27:R28)</f>
        <v>9600</v>
      </c>
      <c r="S26" s="244">
        <f>SUM(S27:S28)</f>
        <v>6508</v>
      </c>
      <c r="T26" s="1"/>
      <c r="U26" s="200"/>
      <c r="V26" s="200"/>
      <c r="W26" s="200"/>
    </row>
    <row r="27" spans="1:23" s="136" customFormat="1" ht="13.7" customHeight="1">
      <c r="A27" s="305" t="s">
        <v>203</v>
      </c>
      <c r="B27" s="241">
        <v>8207</v>
      </c>
      <c r="C27" s="236">
        <v>663</v>
      </c>
      <c r="D27" s="140">
        <v>730</v>
      </c>
      <c r="E27" s="140">
        <f>F27-B27-C27-D27</f>
        <v>0</v>
      </c>
      <c r="F27" s="132">
        <v>9600</v>
      </c>
      <c r="G27" s="251">
        <v>9600</v>
      </c>
      <c r="H27" s="238">
        <v>0</v>
      </c>
      <c r="I27" s="239">
        <v>0</v>
      </c>
      <c r="J27" s="239">
        <v>0</v>
      </c>
      <c r="K27" s="238">
        <v>0</v>
      </c>
      <c r="L27" s="238">
        <v>1760</v>
      </c>
      <c r="M27" s="238">
        <v>2444</v>
      </c>
      <c r="N27" s="238">
        <f t="shared" ref="N27:N28" si="9">Q27-SUM(H27:M27)</f>
        <v>911</v>
      </c>
      <c r="O27" s="140"/>
      <c r="P27" s="240"/>
      <c r="Q27" s="241">
        <v>5115</v>
      </c>
      <c r="R27" s="241">
        <v>9600</v>
      </c>
      <c r="S27" s="241">
        <f>C27+D27+E27+SUM(H27:P27)</f>
        <v>6508</v>
      </c>
      <c r="T27" s="1"/>
      <c r="U27" s="200"/>
      <c r="V27" s="200"/>
      <c r="W27" s="200"/>
    </row>
    <row r="28" spans="1:23" s="136" customFormat="1" ht="13.7" customHeight="1">
      <c r="A28" s="306" t="s">
        <v>204</v>
      </c>
      <c r="B28" s="241">
        <v>0</v>
      </c>
      <c r="C28" s="236">
        <v>0</v>
      </c>
      <c r="D28" s="140">
        <v>0</v>
      </c>
      <c r="E28" s="140">
        <f>F28-B28-C28-D28</f>
        <v>0</v>
      </c>
      <c r="F28" s="132"/>
      <c r="G28" s="251">
        <v>0</v>
      </c>
      <c r="H28" s="238">
        <v>0</v>
      </c>
      <c r="I28" s="239">
        <v>0</v>
      </c>
      <c r="J28" s="239">
        <v>0</v>
      </c>
      <c r="K28" s="238">
        <v>0</v>
      </c>
      <c r="L28" s="238">
        <v>0</v>
      </c>
      <c r="M28" s="238">
        <v>0</v>
      </c>
      <c r="N28" s="238">
        <f t="shared" si="9"/>
        <v>0</v>
      </c>
      <c r="O28" s="140"/>
      <c r="P28" s="240"/>
      <c r="Q28" s="241">
        <v>0</v>
      </c>
      <c r="R28" s="241">
        <v>0</v>
      </c>
      <c r="S28" s="241">
        <f>C28+D28+E28+SUM(H28:P28)</f>
        <v>0</v>
      </c>
      <c r="T28" s="1"/>
      <c r="U28" s="200"/>
      <c r="V28" s="200"/>
      <c r="W28" s="200"/>
    </row>
    <row r="29" spans="1:23" s="200" customFormat="1" ht="13.7" customHeight="1">
      <c r="A29" s="308"/>
      <c r="B29" s="235"/>
      <c r="C29" s="236"/>
      <c r="D29" s="140"/>
      <c r="E29" s="140"/>
      <c r="F29" s="132"/>
      <c r="G29" s="251"/>
      <c r="H29" s="238"/>
      <c r="I29" s="239"/>
      <c r="J29" s="238"/>
      <c r="K29" s="238"/>
      <c r="L29" s="238"/>
      <c r="M29" s="238"/>
      <c r="N29" s="238"/>
      <c r="O29" s="140"/>
      <c r="P29" s="240"/>
      <c r="Q29" s="241"/>
      <c r="R29" s="241"/>
      <c r="S29" s="241"/>
      <c r="T29" s="1"/>
    </row>
    <row r="30" spans="1:23" s="39" customFormat="1" ht="15" customHeight="1">
      <c r="A30" s="777" t="s">
        <v>78</v>
      </c>
      <c r="B30" s="256">
        <f t="shared" ref="B30:G30" si="10">B6+B15+B17+B22+B26</f>
        <v>177331</v>
      </c>
      <c r="C30" s="256">
        <f t="shared" si="10"/>
        <v>11149</v>
      </c>
      <c r="D30" s="311">
        <f t="shared" si="10"/>
        <v>16641</v>
      </c>
      <c r="E30" s="311">
        <f t="shared" si="10"/>
        <v>7445</v>
      </c>
      <c r="F30" s="257">
        <f t="shared" si="10"/>
        <v>212566</v>
      </c>
      <c r="G30" s="257">
        <f t="shared" si="10"/>
        <v>218230</v>
      </c>
      <c r="H30" s="258">
        <f t="shared" ref="H30:N30" si="11">H6+H15+H17+H22+H26</f>
        <v>16077</v>
      </c>
      <c r="I30" s="259">
        <f t="shared" si="11"/>
        <v>34365</v>
      </c>
      <c r="J30" s="259">
        <f t="shared" si="11"/>
        <v>15817</v>
      </c>
      <c r="K30" s="259">
        <f t="shared" si="11"/>
        <v>20135</v>
      </c>
      <c r="L30" s="259">
        <f t="shared" si="11"/>
        <v>17251</v>
      </c>
      <c r="M30" s="259">
        <f t="shared" si="11"/>
        <v>23284</v>
      </c>
      <c r="N30" s="259">
        <f t="shared" si="11"/>
        <v>23913</v>
      </c>
      <c r="O30" s="259"/>
      <c r="P30" s="259"/>
      <c r="Q30" s="257">
        <f>Q6+Q15+Q17+Q22+Q26</f>
        <v>150842</v>
      </c>
      <c r="R30" s="257">
        <f>R6+R15+R17+R22+R26</f>
        <v>221420</v>
      </c>
      <c r="S30" s="257">
        <f>S6+S15+S17+S22+S26</f>
        <v>186077</v>
      </c>
      <c r="T30" s="16"/>
    </row>
    <row r="31" spans="1:23" ht="10.15" customHeight="1">
      <c r="A31" s="51"/>
      <c r="B31" s="754"/>
      <c r="C31" s="52"/>
      <c r="D31" s="50"/>
      <c r="E31" s="50"/>
      <c r="F31" s="50"/>
      <c r="G31" s="50"/>
      <c r="H31" s="53"/>
      <c r="I31" s="50"/>
      <c r="J31" s="48"/>
      <c r="K31" s="47"/>
      <c r="L31" s="54"/>
      <c r="M31" s="54"/>
      <c r="N31" s="54"/>
      <c r="O31" s="54"/>
      <c r="P31" s="54"/>
      <c r="Q31" s="54"/>
      <c r="R31" s="54"/>
      <c r="S31" s="54"/>
      <c r="U31" s="200"/>
      <c r="V31" s="200"/>
      <c r="W31" s="200"/>
    </row>
    <row r="32" spans="1:23" ht="15.75" customHeight="1">
      <c r="A32" s="57" t="s">
        <v>205</v>
      </c>
      <c r="B32" s="57"/>
      <c r="C32" s="57"/>
      <c r="D32" s="57"/>
      <c r="E32" s="57"/>
      <c r="F32" s="57"/>
      <c r="G32" s="47"/>
      <c r="H32" s="53"/>
      <c r="I32" s="50"/>
      <c r="J32" s="48"/>
      <c r="K32" s="47"/>
      <c r="L32" s="54"/>
      <c r="M32" s="54"/>
      <c r="N32" s="54"/>
      <c r="O32" s="48"/>
      <c r="P32" s="54"/>
      <c r="Q32" s="54"/>
      <c r="R32" s="54"/>
      <c r="S32" s="54"/>
      <c r="U32" s="200"/>
      <c r="V32" s="200"/>
      <c r="W32" s="200"/>
    </row>
    <row r="33" spans="1:20" ht="16.5" customHeight="1">
      <c r="A33" s="142" t="s">
        <v>206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53"/>
      <c r="M33" s="53"/>
      <c r="N33" s="53"/>
      <c r="O33" s="53"/>
      <c r="P33" s="53"/>
      <c r="Q33" s="53"/>
      <c r="R33" s="53"/>
      <c r="S33" s="53"/>
    </row>
    <row r="34" spans="1:20" ht="14.25">
      <c r="A34" s="32" t="s">
        <v>207</v>
      </c>
      <c r="B34" s="108"/>
      <c r="C34" s="53"/>
      <c r="D34" s="53"/>
      <c r="E34" s="53"/>
      <c r="F34" s="53"/>
      <c r="G34" s="53"/>
      <c r="H34" s="53"/>
      <c r="I34" s="52"/>
      <c r="J34" s="107"/>
      <c r="K34" s="53"/>
      <c r="L34" s="53"/>
      <c r="M34" s="53"/>
      <c r="N34" s="53"/>
      <c r="O34" s="53"/>
      <c r="P34" s="53"/>
      <c r="Q34" s="53"/>
      <c r="R34" s="53"/>
      <c r="S34" s="53"/>
    </row>
    <row r="35" spans="1:20" ht="16.5" customHeight="1">
      <c r="A35" s="155"/>
      <c r="B35" s="155"/>
      <c r="C35" s="155"/>
      <c r="D35" s="155"/>
      <c r="E35" s="155"/>
      <c r="F35" s="155"/>
      <c r="G35" s="155"/>
      <c r="H35" s="155"/>
      <c r="I35" s="155"/>
      <c r="J35" s="110"/>
      <c r="K35" s="110"/>
      <c r="L35" s="110"/>
      <c r="M35" s="110"/>
      <c r="N35" s="110"/>
      <c r="O35" s="110"/>
      <c r="P35" s="110"/>
      <c r="Q35" s="18"/>
      <c r="R35" s="110"/>
      <c r="S35" s="110"/>
    </row>
    <row r="36" spans="1:20" ht="16.5" customHeight="1">
      <c r="A36" s="111" t="s">
        <v>208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2"/>
      <c r="P36" s="112"/>
      <c r="Q36" s="112"/>
      <c r="R36" s="112"/>
      <c r="S36" s="112"/>
    </row>
    <row r="37" spans="1:20" ht="16.5" customHeight="1">
      <c r="A37" s="111" t="s">
        <v>209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12"/>
      <c r="O37" s="112"/>
      <c r="P37" s="112"/>
      <c r="Q37" s="112"/>
      <c r="R37" s="112"/>
      <c r="S37" s="112"/>
    </row>
    <row r="38" spans="1:20" ht="16.5" customHeight="1">
      <c r="A38" s="111" t="s">
        <v>210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41"/>
      <c r="O38" s="112"/>
      <c r="P38" s="112"/>
      <c r="Q38" s="112"/>
      <c r="R38" s="112"/>
      <c r="S38" s="112"/>
    </row>
    <row r="39" spans="1:20" ht="16.5" customHeight="1">
      <c r="A39" s="109" t="s">
        <v>211</v>
      </c>
      <c r="B39" s="57"/>
      <c r="C39" s="48"/>
      <c r="D39" s="48"/>
      <c r="E39" s="48"/>
      <c r="F39" s="48"/>
      <c r="G39" s="48"/>
      <c r="H39" s="48"/>
      <c r="I39" s="107"/>
      <c r="J39" s="107"/>
      <c r="K39" s="48"/>
      <c r="L39" s="48"/>
      <c r="M39" s="48"/>
      <c r="N39" s="48"/>
      <c r="O39" s="48"/>
      <c r="P39" s="48"/>
      <c r="Q39" s="48"/>
      <c r="R39" s="48"/>
      <c r="S39" s="48"/>
    </row>
    <row r="40" spans="1:20" ht="16.5" customHeight="1">
      <c r="A40" s="109" t="s">
        <v>212</v>
      </c>
      <c r="B40" s="57"/>
      <c r="C40" s="48"/>
      <c r="D40" s="48"/>
      <c r="E40" s="48"/>
      <c r="F40" s="48"/>
      <c r="G40" s="48"/>
      <c r="H40" s="48"/>
      <c r="I40" s="107"/>
      <c r="J40" s="107"/>
      <c r="K40" s="48"/>
      <c r="L40" s="48"/>
      <c r="M40" s="48"/>
      <c r="N40" s="48"/>
      <c r="O40" s="48"/>
      <c r="P40" s="48"/>
      <c r="Q40" s="48"/>
      <c r="R40" s="48"/>
      <c r="S40" s="48"/>
    </row>
    <row r="41" spans="1:20" s="39" customFormat="1" ht="14.25" customHeight="1">
      <c r="A41" s="109" t="s">
        <v>213</v>
      </c>
      <c r="B41" s="57"/>
      <c r="C41" s="48"/>
      <c r="D41" s="48"/>
      <c r="E41" s="48"/>
      <c r="F41" s="48"/>
      <c r="G41" s="48"/>
      <c r="H41" s="48"/>
      <c r="I41" s="107"/>
      <c r="J41" s="107"/>
      <c r="K41" s="48"/>
      <c r="L41" s="48"/>
      <c r="M41" s="48"/>
      <c r="N41" s="48"/>
      <c r="O41" s="48"/>
      <c r="P41" s="48"/>
      <c r="Q41" s="48"/>
      <c r="R41" s="48"/>
      <c r="S41" s="48"/>
      <c r="T41" s="16"/>
    </row>
    <row r="42" spans="1:20" ht="14.25" customHeight="1">
      <c r="A42" s="164"/>
      <c r="B42" s="165"/>
      <c r="C42" s="48"/>
      <c r="D42" s="48"/>
      <c r="E42" s="48"/>
      <c r="F42" s="48"/>
      <c r="G42" s="48"/>
      <c r="H42" s="48"/>
      <c r="I42" s="107"/>
      <c r="J42" s="107"/>
      <c r="K42" s="48"/>
      <c r="L42" s="48"/>
      <c r="M42" s="48"/>
      <c r="N42" s="48"/>
      <c r="O42" s="48"/>
      <c r="P42" s="48"/>
      <c r="Q42" s="48"/>
      <c r="R42" s="48"/>
      <c r="S42" s="48"/>
    </row>
    <row r="43" spans="1:20" ht="14.25" customHeight="1">
      <c r="A43" s="711"/>
      <c r="B43" s="165"/>
      <c r="C43" s="48"/>
      <c r="D43" s="48"/>
      <c r="E43" s="48"/>
      <c r="F43" s="48"/>
      <c r="G43" s="48"/>
      <c r="H43" s="48"/>
      <c r="I43" s="107"/>
      <c r="J43" s="107"/>
      <c r="K43" s="48"/>
      <c r="L43" s="48"/>
      <c r="M43" s="48"/>
      <c r="N43" s="48"/>
      <c r="O43" s="48"/>
      <c r="P43" s="48"/>
      <c r="Q43" s="48"/>
      <c r="R43" s="48"/>
      <c r="S43" s="48"/>
    </row>
    <row r="44" spans="1:20" ht="14.25" customHeight="1">
      <c r="A44" s="164"/>
      <c r="B44" s="165"/>
      <c r="C44" s="48"/>
      <c r="D44" s="48"/>
      <c r="E44" s="48"/>
      <c r="F44" s="48"/>
      <c r="G44" s="48"/>
      <c r="H44" s="48"/>
      <c r="I44" s="107"/>
      <c r="J44" s="107"/>
      <c r="K44" s="48"/>
      <c r="L44" s="48"/>
      <c r="M44" s="48"/>
      <c r="N44" s="48"/>
      <c r="O44" s="48"/>
      <c r="P44" s="48"/>
      <c r="Q44" s="48"/>
      <c r="R44" s="48"/>
      <c r="S44" s="48"/>
    </row>
    <row r="45" spans="1:20" ht="14.25" customHeight="1">
      <c r="A45" s="164"/>
      <c r="B45" s="165"/>
      <c r="C45" s="48"/>
      <c r="D45" s="48"/>
      <c r="E45" s="48"/>
      <c r="F45" s="48"/>
      <c r="G45" s="48"/>
      <c r="H45" s="48"/>
      <c r="I45" s="107"/>
      <c r="J45" s="107"/>
      <c r="K45" s="48"/>
      <c r="L45" s="48"/>
      <c r="M45" s="48"/>
      <c r="N45" s="48"/>
      <c r="O45" s="48"/>
      <c r="P45" s="48"/>
      <c r="Q45" s="48"/>
      <c r="R45" s="48"/>
      <c r="S45" s="48"/>
    </row>
    <row r="46" spans="1:20" ht="14.25" customHeight="1">
      <c r="A46" s="15"/>
      <c r="B46" s="59"/>
      <c r="C46" s="7"/>
      <c r="D46" s="7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</row>
    <row r="47" spans="1:20" ht="14.25" customHeight="1">
      <c r="A47" s="15"/>
      <c r="B47" s="59"/>
      <c r="C47" s="7"/>
      <c r="D47" s="7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</row>
    <row r="48" spans="1:20" ht="14.25" customHeight="1">
      <c r="A48" s="15"/>
      <c r="B48" s="59"/>
      <c r="C48" s="7"/>
      <c r="D48" s="7"/>
      <c r="E48" s="7"/>
      <c r="F48" s="7"/>
      <c r="G48" s="7"/>
      <c r="H48" s="7"/>
      <c r="I48" s="8"/>
      <c r="J48" s="8"/>
      <c r="K48" s="7"/>
      <c r="L48" s="36"/>
      <c r="M48" s="36"/>
      <c r="N48" s="7"/>
      <c r="O48" s="7"/>
      <c r="P48" s="7"/>
      <c r="Q48" s="7"/>
      <c r="R48" s="7"/>
      <c r="S48" s="7"/>
    </row>
    <row r="49" spans="1:19" ht="14.25" customHeight="1">
      <c r="A49" s="15"/>
      <c r="B49" s="59"/>
      <c r="C49" s="7"/>
      <c r="D49" s="7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</row>
    <row r="50" spans="1:19" ht="14.25" customHeight="1">
      <c r="A50" s="15"/>
      <c r="B50" s="59"/>
      <c r="C50" s="7"/>
      <c r="D50" s="7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</row>
    <row r="51" spans="1:19" ht="14.25" customHeight="1">
      <c r="A51" s="15"/>
      <c r="B51" s="59"/>
      <c r="C51" s="7"/>
      <c r="D51" s="7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</row>
    <row r="52" spans="1:19" ht="14.25" customHeight="1">
      <c r="A52" s="15"/>
      <c r="B52" s="59"/>
      <c r="C52" s="7"/>
      <c r="D52" s="7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</row>
    <row r="53" spans="1:19" ht="14.25" customHeight="1">
      <c r="A53" s="15"/>
      <c r="B53" s="59"/>
      <c r="C53" s="7"/>
      <c r="D53" s="7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</row>
    <row r="54" spans="1:19" ht="14.25" customHeight="1">
      <c r="A54" s="15"/>
      <c r="B54" s="59"/>
      <c r="C54" s="7"/>
      <c r="D54" s="7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</row>
    <row r="55" spans="1:19" ht="14.25" customHeight="1">
      <c r="A55" s="15"/>
      <c r="B55" s="59"/>
      <c r="C55" s="7"/>
      <c r="D55" s="7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1" orientation="landscape" r:id="rId1"/>
  <headerFooter alignWithMargins="0"/>
  <ignoredErrors>
    <ignoredError sqref="S7 S8:S13 S18:S28 S15 M16:M17 M21:M22 M25:M26 N7:N13 N18:N20 N23:N24 N15 N27:N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9"/>
  <sheetViews>
    <sheetView showGridLines="0" zoomScaleNormal="100" workbookViewId="0">
      <selection activeCell="Q15" sqref="Q15"/>
    </sheetView>
  </sheetViews>
  <sheetFormatPr defaultColWidth="8.85546875" defaultRowHeight="12.75"/>
  <cols>
    <col min="1" max="1" width="18.5703125" style="37" customWidth="1"/>
    <col min="2" max="4" width="9.85546875" style="37" customWidth="1"/>
    <col min="5" max="5" width="9.7109375" style="37" customWidth="1"/>
    <col min="6" max="6" width="12" style="37" customWidth="1"/>
    <col min="7" max="7" width="10" style="37" customWidth="1"/>
    <col min="8" max="8" width="10.7109375" style="37" customWidth="1"/>
    <col min="9" max="12" width="8.7109375" style="37" customWidth="1"/>
    <col min="13" max="13" width="8.7109375" style="136" customWidth="1"/>
    <col min="14" max="14" width="18.28515625" style="37" customWidth="1"/>
    <col min="15" max="16384" width="8.85546875" style="37"/>
  </cols>
  <sheetData>
    <row r="1" spans="1:15" s="19" customFormat="1" ht="21.2" customHeight="1">
      <c r="A1" s="753" t="s">
        <v>214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</row>
    <row r="2" spans="1:15" ht="19.149999999999999" customHeight="1">
      <c r="A2" s="203"/>
      <c r="B2" s="73" t="s">
        <v>86</v>
      </c>
      <c r="C2" s="73" t="s">
        <v>87</v>
      </c>
      <c r="D2" s="73" t="s">
        <v>88</v>
      </c>
      <c r="E2" s="137" t="s">
        <v>89</v>
      </c>
      <c r="F2" s="73" t="s">
        <v>90</v>
      </c>
      <c r="G2" s="73" t="s">
        <v>91</v>
      </c>
      <c r="H2" s="73" t="s">
        <v>92</v>
      </c>
      <c r="I2" s="73" t="s">
        <v>93</v>
      </c>
      <c r="J2" s="137" t="s">
        <v>94</v>
      </c>
      <c r="K2" s="73" t="s">
        <v>95</v>
      </c>
      <c r="L2" s="73" t="s">
        <v>58</v>
      </c>
      <c r="M2" s="74" t="s">
        <v>59</v>
      </c>
      <c r="N2" s="43"/>
      <c r="O2" s="200"/>
    </row>
    <row r="3" spans="1:15" s="200" customFormat="1" ht="19.149999999999999" customHeight="1">
      <c r="A3" s="203"/>
      <c r="B3" s="451">
        <v>44501</v>
      </c>
      <c r="C3" s="451">
        <v>44529</v>
      </c>
      <c r="D3" s="451">
        <v>44561</v>
      </c>
      <c r="E3" s="451">
        <v>44592</v>
      </c>
      <c r="F3" s="451">
        <v>44620</v>
      </c>
      <c r="G3" s="451">
        <v>44655</v>
      </c>
      <c r="H3" s="451">
        <v>44683</v>
      </c>
      <c r="I3" s="451">
        <v>44711</v>
      </c>
      <c r="J3" s="451">
        <v>44747</v>
      </c>
      <c r="K3" s="451">
        <v>44774</v>
      </c>
      <c r="L3" s="451">
        <v>44802</v>
      </c>
      <c r="M3" s="451">
        <v>44834</v>
      </c>
      <c r="N3" s="106" t="s">
        <v>215</v>
      </c>
    </row>
    <row r="4" spans="1:15" s="136" customFormat="1" ht="13.15" customHeight="1">
      <c r="A4" s="58"/>
      <c r="B4" s="144"/>
      <c r="C4" s="145"/>
      <c r="D4" s="145"/>
      <c r="E4" s="145"/>
      <c r="F4" s="145"/>
      <c r="G4" s="145"/>
      <c r="H4" s="145"/>
      <c r="I4" s="146"/>
      <c r="J4" s="145"/>
      <c r="K4" s="145"/>
      <c r="L4" s="145"/>
      <c r="M4" s="202"/>
      <c r="N4" s="147"/>
      <c r="O4" s="200"/>
    </row>
    <row r="5" spans="1:15" ht="13.7" customHeight="1">
      <c r="A5" s="49"/>
      <c r="B5" s="842" t="s">
        <v>24</v>
      </c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170"/>
      <c r="N5" s="55"/>
      <c r="O5" s="32"/>
    </row>
    <row r="6" spans="1:15" ht="14.25" customHeight="1">
      <c r="A6" s="58" t="s">
        <v>158</v>
      </c>
      <c r="B6" s="127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122">
        <v>0</v>
      </c>
      <c r="J6" s="122">
        <v>0</v>
      </c>
      <c r="K6" s="53">
        <v>0</v>
      </c>
      <c r="L6" s="53"/>
      <c r="M6" s="123"/>
      <c r="N6" s="113">
        <f>SUM(B6:M6)</f>
        <v>0</v>
      </c>
      <c r="O6" s="32"/>
    </row>
    <row r="7" spans="1:15" ht="14.25" customHeight="1">
      <c r="A7" s="58" t="s">
        <v>169</v>
      </c>
      <c r="B7" s="127">
        <v>267</v>
      </c>
      <c r="C7" s="101">
        <v>287</v>
      </c>
      <c r="D7" s="101">
        <v>348</v>
      </c>
      <c r="E7" s="101">
        <v>278</v>
      </c>
      <c r="F7" s="101">
        <v>299</v>
      </c>
      <c r="G7" s="101">
        <v>480</v>
      </c>
      <c r="H7" s="101">
        <v>365</v>
      </c>
      <c r="I7" s="135">
        <v>315</v>
      </c>
      <c r="J7" s="135">
        <v>0</v>
      </c>
      <c r="K7" s="53">
        <v>1092</v>
      </c>
      <c r="L7" s="53"/>
      <c r="M7" s="123"/>
      <c r="N7" s="113">
        <f>SUM(B7:M7)</f>
        <v>3731</v>
      </c>
      <c r="O7" s="32"/>
    </row>
    <row r="8" spans="1:15" ht="14.25" customHeight="1">
      <c r="A8" s="114" t="s">
        <v>216</v>
      </c>
      <c r="B8" s="128">
        <f>B10-B6-B7</f>
        <v>986</v>
      </c>
      <c r="C8" s="102">
        <f t="shared" ref="C8:K8" si="0">C10-C6-C7</f>
        <v>843</v>
      </c>
      <c r="D8" s="102">
        <f t="shared" si="0"/>
        <v>901</v>
      </c>
      <c r="E8" s="102">
        <f t="shared" si="0"/>
        <v>1022</v>
      </c>
      <c r="F8" s="102">
        <f t="shared" si="0"/>
        <v>871</v>
      </c>
      <c r="G8" s="102">
        <f t="shared" si="0"/>
        <v>1339</v>
      </c>
      <c r="H8" s="102">
        <f t="shared" si="0"/>
        <v>855</v>
      </c>
      <c r="I8" s="102">
        <f t="shared" si="0"/>
        <v>674</v>
      </c>
      <c r="J8" s="102">
        <f t="shared" si="0"/>
        <v>0</v>
      </c>
      <c r="K8" s="102">
        <f t="shared" si="0"/>
        <v>408</v>
      </c>
      <c r="L8" s="102"/>
      <c r="M8" s="102"/>
      <c r="N8" s="260">
        <f>SUM(B8:M8)</f>
        <v>7899</v>
      </c>
      <c r="O8" s="32"/>
    </row>
    <row r="9" spans="1:15" ht="13.15" customHeight="1">
      <c r="A9" s="114"/>
      <c r="B9" s="128"/>
      <c r="C9" s="115"/>
      <c r="D9" s="115"/>
      <c r="E9" s="50"/>
      <c r="F9" s="115"/>
      <c r="G9" s="53"/>
      <c r="H9" s="53"/>
      <c r="I9" s="124"/>
      <c r="J9" s="124"/>
      <c r="K9" s="125"/>
      <c r="L9" s="125"/>
      <c r="M9" s="126"/>
      <c r="N9" s="113"/>
      <c r="O9" s="32"/>
    </row>
    <row r="10" spans="1:15" ht="12.6" customHeight="1">
      <c r="A10" s="154" t="s">
        <v>40</v>
      </c>
      <c r="B10" s="197">
        <v>1253</v>
      </c>
      <c r="C10" s="172">
        <v>1130</v>
      </c>
      <c r="D10" s="172">
        <v>1249</v>
      </c>
      <c r="E10" s="172">
        <v>1300</v>
      </c>
      <c r="F10" s="172">
        <v>1170</v>
      </c>
      <c r="G10" s="172">
        <v>1819</v>
      </c>
      <c r="H10" s="172">
        <v>1220</v>
      </c>
      <c r="I10" s="715">
        <v>989</v>
      </c>
      <c r="J10" s="715">
        <v>0</v>
      </c>
      <c r="K10" s="172">
        <v>1500</v>
      </c>
      <c r="L10" s="172"/>
      <c r="M10" s="171"/>
      <c r="N10" s="716">
        <f>SUM(B10:M10)</f>
        <v>11630</v>
      </c>
      <c r="O10" s="32"/>
    </row>
    <row r="11" spans="1:15" s="136" customFormat="1" ht="12.6" customHeight="1">
      <c r="A11" s="712"/>
      <c r="B11" s="713"/>
      <c r="C11" s="713"/>
      <c r="D11" s="713"/>
      <c r="E11" s="713"/>
      <c r="F11" s="713"/>
      <c r="G11" s="713"/>
      <c r="H11" s="713"/>
      <c r="I11" s="713"/>
      <c r="J11" s="714"/>
      <c r="K11" s="714"/>
      <c r="L11" s="714"/>
      <c r="M11" s="714"/>
      <c r="N11" s="713"/>
      <c r="O11" s="32"/>
    </row>
    <row r="12" spans="1:15" s="39" customFormat="1" ht="18" customHeight="1">
      <c r="A12" s="32" t="s">
        <v>217</v>
      </c>
      <c r="B12" s="45"/>
      <c r="C12" s="45"/>
      <c r="D12" s="45"/>
      <c r="E12" s="32"/>
      <c r="F12" s="32"/>
      <c r="G12" s="32"/>
      <c r="H12" s="32"/>
      <c r="I12" s="32"/>
      <c r="J12" s="32"/>
      <c r="K12" s="32"/>
      <c r="L12" s="680"/>
      <c r="M12" s="680"/>
      <c r="N12" s="680"/>
      <c r="O12" s="680"/>
    </row>
    <row r="13" spans="1:15" s="39" customFormat="1" ht="18" customHeight="1">
      <c r="A13" s="32" t="s">
        <v>218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s="16" customFormat="1" ht="18" customHeight="1">
      <c r="A14" s="680"/>
      <c r="B14" s="681"/>
      <c r="C14" s="681"/>
      <c r="D14" s="681"/>
      <c r="E14" s="681"/>
      <c r="F14" s="681"/>
      <c r="G14" s="681"/>
      <c r="H14" s="681"/>
      <c r="I14" s="680"/>
      <c r="J14" s="680"/>
      <c r="K14" s="680"/>
      <c r="L14" s="680"/>
      <c r="M14" s="680"/>
      <c r="N14" s="681"/>
    </row>
    <row r="15" spans="1:15" s="19" customFormat="1" ht="21.2" customHeight="1">
      <c r="A15" s="844" t="s">
        <v>219</v>
      </c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</row>
    <row r="16" spans="1:15" s="19" customFormat="1" ht="19.149999999999999" customHeight="1">
      <c r="A16" s="204"/>
      <c r="B16" s="73" t="s">
        <v>86</v>
      </c>
      <c r="C16" s="73" t="s">
        <v>87</v>
      </c>
      <c r="D16" s="73" t="s">
        <v>88</v>
      </c>
      <c r="E16" s="137" t="s">
        <v>89</v>
      </c>
      <c r="F16" s="73" t="s">
        <v>90</v>
      </c>
      <c r="G16" s="73" t="s">
        <v>91</v>
      </c>
      <c r="H16" s="73" t="s">
        <v>92</v>
      </c>
      <c r="I16" s="73" t="s">
        <v>93</v>
      </c>
      <c r="J16" s="137" t="s">
        <v>94</v>
      </c>
      <c r="K16" s="73" t="s">
        <v>95</v>
      </c>
      <c r="L16" s="73" t="s">
        <v>58</v>
      </c>
      <c r="M16" s="74" t="s">
        <v>59</v>
      </c>
      <c r="N16" s="175"/>
    </row>
    <row r="17" spans="1:15" s="19" customFormat="1" ht="19.149999999999999" customHeight="1">
      <c r="A17" s="204"/>
      <c r="B17" s="451">
        <v>44501</v>
      </c>
      <c r="C17" s="451">
        <v>44529</v>
      </c>
      <c r="D17" s="451">
        <v>44561</v>
      </c>
      <c r="E17" s="451">
        <v>44592</v>
      </c>
      <c r="F17" s="451">
        <v>44620</v>
      </c>
      <c r="G17" s="451" t="s">
        <v>101</v>
      </c>
      <c r="H17" s="451">
        <v>44683</v>
      </c>
      <c r="I17" s="451">
        <v>44711</v>
      </c>
      <c r="J17" s="451">
        <v>44747</v>
      </c>
      <c r="K17" s="451">
        <v>44774</v>
      </c>
      <c r="L17" s="451">
        <v>44802</v>
      </c>
      <c r="M17" s="451">
        <v>44834</v>
      </c>
      <c r="N17" s="106" t="s">
        <v>165</v>
      </c>
    </row>
    <row r="18" spans="1:15" s="19" customFormat="1" ht="13.15" customHeight="1">
      <c r="A18" s="153"/>
      <c r="B18" s="148"/>
      <c r="C18" s="149"/>
      <c r="D18" s="149"/>
      <c r="E18" s="149"/>
      <c r="F18" s="149"/>
      <c r="G18" s="149"/>
      <c r="H18" s="149"/>
      <c r="I18" s="150"/>
      <c r="J18" s="149"/>
      <c r="K18" s="149"/>
      <c r="L18" s="149"/>
      <c r="M18" s="151"/>
      <c r="N18" s="152"/>
    </row>
    <row r="19" spans="1:15" ht="13.7" customHeight="1">
      <c r="A19" s="49"/>
      <c r="B19" s="64"/>
      <c r="C19" s="115"/>
      <c r="D19" s="845" t="s">
        <v>24</v>
      </c>
      <c r="E19" s="845"/>
      <c r="F19" s="845"/>
      <c r="G19" s="845"/>
      <c r="H19" s="845"/>
      <c r="I19" s="845"/>
      <c r="J19" s="845"/>
      <c r="K19" s="115"/>
      <c r="L19" s="115"/>
      <c r="M19" s="116"/>
      <c r="N19" s="75"/>
      <c r="O19" s="200"/>
    </row>
    <row r="20" spans="1:15" s="136" customFormat="1" ht="13.7" customHeight="1">
      <c r="A20" s="49" t="s">
        <v>158</v>
      </c>
      <c r="B20" s="66">
        <v>2581</v>
      </c>
      <c r="C20" s="53">
        <v>4122</v>
      </c>
      <c r="D20" s="48">
        <v>19597</v>
      </c>
      <c r="E20" s="48">
        <v>0</v>
      </c>
      <c r="F20" s="48">
        <v>2348</v>
      </c>
      <c r="G20" s="48">
        <v>29044</v>
      </c>
      <c r="H20" s="48">
        <v>10395</v>
      </c>
      <c r="I20" s="48">
        <v>7380</v>
      </c>
      <c r="J20" s="48">
        <v>8387</v>
      </c>
      <c r="K20" s="53">
        <v>3006</v>
      </c>
      <c r="L20" s="50"/>
      <c r="M20" s="156"/>
      <c r="N20" s="104">
        <f>SUM(B20:M20)</f>
        <v>86860</v>
      </c>
      <c r="O20" s="200"/>
    </row>
    <row r="21" spans="1:15" ht="13.7" customHeight="1">
      <c r="A21" s="49" t="s">
        <v>220</v>
      </c>
      <c r="B21" s="66">
        <f>B23-B20</f>
        <v>8961</v>
      </c>
      <c r="C21" s="53">
        <f>C23-C20</f>
        <v>24204</v>
      </c>
      <c r="D21" s="53">
        <f t="shared" ref="D21:K21" si="1">D23-D20</f>
        <v>10694</v>
      </c>
      <c r="E21" s="53">
        <f t="shared" si="1"/>
        <v>15175</v>
      </c>
      <c r="F21" s="53">
        <f t="shared" si="1"/>
        <v>0</v>
      </c>
      <c r="G21" s="53">
        <f t="shared" si="1"/>
        <v>5847</v>
      </c>
      <c r="H21" s="53">
        <f t="shared" si="1"/>
        <v>46240</v>
      </c>
      <c r="I21" s="53">
        <f t="shared" si="1"/>
        <v>10470</v>
      </c>
      <c r="J21" s="53">
        <f t="shared" si="1"/>
        <v>30587</v>
      </c>
      <c r="K21" s="53">
        <f t="shared" si="1"/>
        <v>158</v>
      </c>
      <c r="L21" s="53"/>
      <c r="M21" s="53"/>
      <c r="N21" s="104">
        <f>SUM(B21:M21)</f>
        <v>152336</v>
      </c>
      <c r="O21" s="200"/>
    </row>
    <row r="22" spans="1:15" s="136" customFormat="1" ht="13.15" customHeight="1">
      <c r="A22" s="49"/>
      <c r="B22" s="157"/>
      <c r="C22" s="50"/>
      <c r="D22" s="158"/>
      <c r="E22" s="158"/>
      <c r="F22" s="158"/>
      <c r="G22" s="158"/>
      <c r="H22" s="158"/>
      <c r="I22" s="158"/>
      <c r="J22" s="158"/>
      <c r="K22" s="50"/>
      <c r="L22" s="50"/>
      <c r="M22" s="156"/>
      <c r="N22" s="104"/>
      <c r="O22" s="200"/>
    </row>
    <row r="23" spans="1:15" ht="15.75" customHeight="1">
      <c r="A23" s="154" t="s">
        <v>40</v>
      </c>
      <c r="B23" s="779">
        <v>11542</v>
      </c>
      <c r="C23" s="172">
        <v>28326</v>
      </c>
      <c r="D23" s="172">
        <v>30291</v>
      </c>
      <c r="E23" s="172">
        <v>15175</v>
      </c>
      <c r="F23" s="172">
        <v>2348</v>
      </c>
      <c r="G23" s="172">
        <v>34891</v>
      </c>
      <c r="H23" s="172">
        <v>56635</v>
      </c>
      <c r="I23" s="172">
        <v>17850</v>
      </c>
      <c r="J23" s="172">
        <v>38974</v>
      </c>
      <c r="K23" s="172">
        <v>3164</v>
      </c>
      <c r="L23" s="172"/>
      <c r="M23" s="171"/>
      <c r="N23" s="160">
        <f>SUM(B23:M23)</f>
        <v>239196</v>
      </c>
      <c r="O23" s="200"/>
    </row>
    <row r="24" spans="1:15" s="136" customFormat="1" ht="15.75" customHeight="1">
      <c r="A24" s="49"/>
      <c r="B24" s="64"/>
      <c r="C24" s="115"/>
      <c r="D24" s="845" t="s">
        <v>41</v>
      </c>
      <c r="E24" s="845"/>
      <c r="F24" s="845"/>
      <c r="G24" s="845"/>
      <c r="H24" s="845"/>
      <c r="I24" s="845"/>
      <c r="J24" s="845"/>
      <c r="K24" s="115"/>
      <c r="L24" s="115"/>
      <c r="M24" s="116"/>
      <c r="N24" s="159"/>
      <c r="O24" s="200"/>
    </row>
    <row r="25" spans="1:15" s="136" customFormat="1" ht="15.75" customHeight="1">
      <c r="A25" s="49" t="s">
        <v>158</v>
      </c>
      <c r="B25" s="127">
        <f t="shared" ref="B25:K26" si="2">B20*1.10231125</f>
        <v>2845.0653362500002</v>
      </c>
      <c r="C25" s="101">
        <f t="shared" si="2"/>
        <v>4543.7269725000006</v>
      </c>
      <c r="D25" s="101">
        <f t="shared" si="2"/>
        <v>21601.993566250003</v>
      </c>
      <c r="E25" s="101">
        <f t="shared" si="2"/>
        <v>0</v>
      </c>
      <c r="F25" s="101">
        <f t="shared" si="2"/>
        <v>2588.226815</v>
      </c>
      <c r="G25" s="101">
        <f t="shared" si="2"/>
        <v>32015.527945000002</v>
      </c>
      <c r="H25" s="101">
        <f t="shared" si="2"/>
        <v>11458.525443750001</v>
      </c>
      <c r="I25" s="101">
        <f t="shared" si="2"/>
        <v>8135.057025000001</v>
      </c>
      <c r="J25" s="101">
        <f t="shared" si="2"/>
        <v>9245.0844537499997</v>
      </c>
      <c r="K25" s="101">
        <f t="shared" si="2"/>
        <v>3313.5476175000003</v>
      </c>
      <c r="L25" s="101"/>
      <c r="M25" s="156"/>
      <c r="N25" s="104">
        <f>SUM(B25:M25)</f>
        <v>95746.755174999998</v>
      </c>
      <c r="O25" s="200"/>
    </row>
    <row r="26" spans="1:15" s="136" customFormat="1" ht="15.75" customHeight="1">
      <c r="A26" s="49" t="s">
        <v>220</v>
      </c>
      <c r="B26" s="127">
        <f t="shared" si="2"/>
        <v>9877.811111250001</v>
      </c>
      <c r="C26" s="101">
        <f t="shared" si="2"/>
        <v>26680.341495000001</v>
      </c>
      <c r="D26" s="101">
        <f t="shared" si="2"/>
        <v>11788.116507500001</v>
      </c>
      <c r="E26" s="101">
        <f t="shared" si="2"/>
        <v>16727.57321875</v>
      </c>
      <c r="F26" s="101">
        <f t="shared" si="2"/>
        <v>0</v>
      </c>
      <c r="G26" s="101">
        <f t="shared" si="2"/>
        <v>6445.2138787500007</v>
      </c>
      <c r="H26" s="101">
        <f t="shared" si="2"/>
        <v>50970.872200000005</v>
      </c>
      <c r="I26" s="101">
        <f t="shared" si="2"/>
        <v>11541.198787500001</v>
      </c>
      <c r="J26" s="101">
        <f t="shared" si="2"/>
        <v>33716.394203750002</v>
      </c>
      <c r="K26" s="101">
        <f t="shared" si="2"/>
        <v>174.1651775</v>
      </c>
      <c r="L26" s="101"/>
      <c r="M26" s="156"/>
      <c r="N26" s="104">
        <f>SUM(B26:M26)</f>
        <v>167921.68658000001</v>
      </c>
      <c r="O26" s="200"/>
    </row>
    <row r="27" spans="1:15" s="136" customFormat="1" ht="13.15" customHeight="1">
      <c r="A27" s="49"/>
      <c r="B27" s="127"/>
      <c r="C27" s="101"/>
      <c r="D27" s="50"/>
      <c r="E27" s="54"/>
      <c r="F27" s="54"/>
      <c r="G27" s="54"/>
      <c r="H27" s="54"/>
      <c r="I27" s="54"/>
      <c r="J27" s="54"/>
      <c r="K27" s="50"/>
      <c r="L27" s="50"/>
      <c r="M27" s="156"/>
      <c r="N27" s="104"/>
      <c r="O27" s="200"/>
    </row>
    <row r="28" spans="1:15" s="136" customFormat="1" ht="15.75" customHeight="1">
      <c r="A28" s="154" t="s">
        <v>40</v>
      </c>
      <c r="B28" s="197">
        <f>SUM(B25:B27)</f>
        <v>12722.876447500001</v>
      </c>
      <c r="C28" s="198">
        <f t="shared" ref="C28:K28" si="3">C23*1.10231125</f>
        <v>31224.068467500001</v>
      </c>
      <c r="D28" s="198">
        <f t="shared" si="3"/>
        <v>33390.110073750002</v>
      </c>
      <c r="E28" s="198">
        <f t="shared" si="3"/>
        <v>16727.57321875</v>
      </c>
      <c r="F28" s="198">
        <f t="shared" si="3"/>
        <v>2588.226815</v>
      </c>
      <c r="G28" s="198">
        <f t="shared" si="3"/>
        <v>38460.741823750002</v>
      </c>
      <c r="H28" s="198">
        <f t="shared" si="3"/>
        <v>62429.397643750002</v>
      </c>
      <c r="I28" s="198">
        <f t="shared" si="3"/>
        <v>19676.2558125</v>
      </c>
      <c r="J28" s="198">
        <f t="shared" si="3"/>
        <v>42961.478657500003</v>
      </c>
      <c r="K28" s="198">
        <f t="shared" si="3"/>
        <v>3487.7127950000004</v>
      </c>
      <c r="L28" s="198"/>
      <c r="M28" s="171"/>
      <c r="N28" s="160">
        <f>SUM(B28:M28)</f>
        <v>263668.44175500004</v>
      </c>
      <c r="O28" s="200"/>
    </row>
    <row r="29" spans="1:15" s="200" customFormat="1" ht="15.75" customHeight="1">
      <c r="A29" s="46"/>
      <c r="B29" s="624"/>
      <c r="C29" s="624"/>
      <c r="D29" s="624"/>
      <c r="E29" s="624"/>
      <c r="F29" s="624"/>
      <c r="G29" s="624"/>
      <c r="H29" s="625"/>
      <c r="I29" s="625"/>
      <c r="J29" s="625"/>
      <c r="K29" s="625"/>
      <c r="L29" s="625"/>
      <c r="M29" s="625"/>
      <c r="N29" s="624"/>
    </row>
    <row r="30" spans="1:15" s="200" customFormat="1" ht="15.75" customHeight="1">
      <c r="A30" s="32" t="s">
        <v>217</v>
      </c>
      <c r="B30" s="635"/>
      <c r="K30" s="680"/>
      <c r="L30" s="681"/>
      <c r="M30" s="681"/>
      <c r="N30" s="681"/>
      <c r="O30" s="680"/>
    </row>
    <row r="31" spans="1:15" s="200" customFormat="1" ht="15.75" customHeight="1">
      <c r="A31" s="32" t="s">
        <v>221</v>
      </c>
      <c r="B31" s="32"/>
      <c r="C31" s="32"/>
      <c r="D31" s="32"/>
      <c r="E31" s="32"/>
      <c r="F31" s="32"/>
      <c r="G31" s="32"/>
      <c r="H31" s="32"/>
      <c r="I31" s="32"/>
      <c r="J31" s="101"/>
      <c r="K31" s="101"/>
      <c r="L31" s="101"/>
      <c r="M31" s="53"/>
      <c r="N31" s="624"/>
      <c r="O31" s="624"/>
    </row>
    <row r="32" spans="1:15" s="1" customFormat="1" ht="15.75" customHeight="1">
      <c r="A32" s="712"/>
      <c r="B32" s="721"/>
      <c r="C32" s="721"/>
      <c r="D32" s="721"/>
      <c r="E32" s="721"/>
      <c r="F32" s="721"/>
      <c r="G32" s="721"/>
      <c r="H32" s="721"/>
      <c r="I32" s="721"/>
      <c r="J32" s="721"/>
      <c r="K32" s="712"/>
      <c r="L32" s="712"/>
      <c r="M32" s="712"/>
      <c r="N32" s="681"/>
      <c r="O32" s="681"/>
    </row>
    <row r="33" spans="1:14" s="19" customFormat="1" ht="18.600000000000001" customHeight="1">
      <c r="A33" s="208" t="s">
        <v>222</v>
      </c>
      <c r="B33" s="208"/>
      <c r="C33" s="208"/>
      <c r="D33" s="208"/>
      <c r="E33" s="208"/>
      <c r="F33" s="208"/>
      <c r="G33" s="208"/>
      <c r="H33" s="208"/>
      <c r="I33" s="208"/>
      <c r="J33" s="200"/>
      <c r="K33" s="200"/>
      <c r="L33" s="200"/>
      <c r="M33" s="200"/>
      <c r="N33" s="200"/>
    </row>
    <row r="34" spans="1:14" ht="15.75">
      <c r="A34" s="209"/>
      <c r="B34" s="363">
        <v>2017</v>
      </c>
      <c r="C34" s="363">
        <v>2018</v>
      </c>
      <c r="D34" s="363">
        <v>2019</v>
      </c>
      <c r="E34" s="363">
        <v>2020</v>
      </c>
      <c r="F34" s="363">
        <v>2021</v>
      </c>
      <c r="G34" s="210"/>
      <c r="H34" s="210"/>
      <c r="I34" s="210"/>
      <c r="J34" s="200"/>
      <c r="K34" s="200"/>
      <c r="L34" s="200"/>
      <c r="M34" s="200"/>
      <c r="N34" s="200"/>
    </row>
    <row r="35" spans="1:14" s="136" customFormat="1" ht="15">
      <c r="A35" s="211"/>
      <c r="B35" s="846" t="s">
        <v>25</v>
      </c>
      <c r="C35" s="847"/>
      <c r="D35" s="847"/>
      <c r="E35" s="847"/>
      <c r="F35" s="848"/>
      <c r="G35" s="200"/>
      <c r="H35" s="200"/>
      <c r="I35" s="200"/>
      <c r="J35" s="200"/>
      <c r="K35" s="200"/>
      <c r="L35" s="200"/>
      <c r="M35" s="200"/>
      <c r="N35" s="200"/>
    </row>
    <row r="36" spans="1:14" ht="14.25">
      <c r="A36" s="212" t="s">
        <v>157</v>
      </c>
      <c r="B36" s="214">
        <v>0</v>
      </c>
      <c r="C36" s="214">
        <v>0</v>
      </c>
      <c r="D36" s="214">
        <v>14751.48</v>
      </c>
      <c r="E36" s="217">
        <v>0</v>
      </c>
      <c r="F36" s="460">
        <v>0</v>
      </c>
      <c r="G36" s="200"/>
      <c r="H36" s="200"/>
      <c r="I36" s="199"/>
      <c r="J36" s="200"/>
      <c r="K36" s="200"/>
      <c r="L36" s="200"/>
      <c r="M36" s="200"/>
      <c r="N36" s="200"/>
    </row>
    <row r="37" spans="1:14" ht="14.25">
      <c r="A37" s="213" t="s">
        <v>112</v>
      </c>
      <c r="B37" s="214">
        <v>13931.13</v>
      </c>
      <c r="C37" s="214">
        <v>91289.56</v>
      </c>
      <c r="D37" s="214">
        <v>4553.84</v>
      </c>
      <c r="E37" s="215">
        <v>66584</v>
      </c>
      <c r="F37" s="461">
        <v>80272</v>
      </c>
      <c r="G37" s="200"/>
      <c r="H37" s="200"/>
      <c r="I37" s="216"/>
      <c r="J37" s="200"/>
      <c r="K37" s="200"/>
      <c r="L37" s="200"/>
      <c r="M37" s="200"/>
      <c r="N37" s="200"/>
    </row>
    <row r="38" spans="1:14" ht="14.25">
      <c r="A38" s="213" t="s">
        <v>113</v>
      </c>
      <c r="B38" s="214">
        <v>0</v>
      </c>
      <c r="C38" s="214">
        <v>0</v>
      </c>
      <c r="D38" s="214">
        <v>23000</v>
      </c>
      <c r="E38" s="217">
        <v>0</v>
      </c>
      <c r="F38" s="462">
        <v>0</v>
      </c>
      <c r="G38" s="200"/>
      <c r="H38" s="200"/>
      <c r="I38" s="216"/>
      <c r="J38" s="200"/>
      <c r="K38" s="200"/>
      <c r="L38" s="200"/>
      <c r="M38" s="200"/>
      <c r="N38" s="200"/>
    </row>
    <row r="39" spans="1:14" ht="14.25">
      <c r="A39" s="213" t="s">
        <v>115</v>
      </c>
      <c r="B39" s="214">
        <v>70329.100000000006</v>
      </c>
      <c r="C39" s="214">
        <v>38345.21</v>
      </c>
      <c r="D39" s="214">
        <v>30405.66</v>
      </c>
      <c r="E39" s="215">
        <v>44707</v>
      </c>
      <c r="F39" s="461">
        <v>1043</v>
      </c>
      <c r="G39" s="200"/>
      <c r="H39" s="200"/>
      <c r="I39" s="216"/>
      <c r="J39" s="200"/>
      <c r="K39" s="200"/>
      <c r="L39" s="200"/>
      <c r="M39" s="200"/>
      <c r="N39" s="200"/>
    </row>
    <row r="40" spans="1:14" ht="14.25">
      <c r="A40" s="213" t="s">
        <v>119</v>
      </c>
      <c r="B40" s="214">
        <v>49452.42</v>
      </c>
      <c r="C40" s="214">
        <v>39878.160000000003</v>
      </c>
      <c r="D40" s="214">
        <v>33551.699999999997</v>
      </c>
      <c r="E40" s="215">
        <v>63484</v>
      </c>
      <c r="F40" s="461">
        <v>38321</v>
      </c>
      <c r="G40" s="200"/>
      <c r="H40" s="200"/>
      <c r="I40" s="216"/>
      <c r="J40" s="200"/>
      <c r="K40" s="200"/>
      <c r="L40" s="200"/>
      <c r="M40" s="200"/>
      <c r="N40" s="200"/>
    </row>
    <row r="41" spans="1:14" ht="14.25">
      <c r="A41" s="213" t="s">
        <v>123</v>
      </c>
      <c r="B41" s="214">
        <v>172805.22</v>
      </c>
      <c r="C41" s="214">
        <v>91460.52</v>
      </c>
      <c r="D41" s="214">
        <v>113531.69</v>
      </c>
      <c r="E41" s="215">
        <v>141092</v>
      </c>
      <c r="F41" s="461">
        <v>59800</v>
      </c>
      <c r="G41" s="200"/>
      <c r="H41" s="200"/>
      <c r="I41" s="216"/>
      <c r="J41" s="200"/>
      <c r="K41" s="200"/>
      <c r="L41" s="200"/>
      <c r="M41" s="200"/>
      <c r="N41" s="200"/>
    </row>
    <row r="42" spans="1:14" ht="14.25">
      <c r="A42" s="213" t="s">
        <v>126</v>
      </c>
      <c r="B42" s="214">
        <v>4000.01</v>
      </c>
      <c r="C42" s="214">
        <v>4801.8900000000003</v>
      </c>
      <c r="D42" s="214">
        <v>8693.5499999999993</v>
      </c>
      <c r="E42" s="215">
        <v>24946</v>
      </c>
      <c r="F42" s="462">
        <v>0</v>
      </c>
      <c r="G42" s="200"/>
      <c r="H42" s="200"/>
      <c r="I42" s="216"/>
      <c r="J42" s="200"/>
      <c r="K42" s="200"/>
      <c r="L42" s="200"/>
      <c r="M42" s="200"/>
      <c r="N42" s="200"/>
    </row>
    <row r="43" spans="1:14" ht="14.25">
      <c r="A43" s="213" t="s">
        <v>158</v>
      </c>
      <c r="B43" s="214">
        <v>17918.189999999999</v>
      </c>
      <c r="C43" s="214">
        <v>12500</v>
      </c>
      <c r="D43" s="214">
        <v>146888</v>
      </c>
      <c r="E43" s="215">
        <v>21404</v>
      </c>
      <c r="F43" s="461">
        <v>61144</v>
      </c>
      <c r="G43" s="200"/>
      <c r="H43" s="200"/>
      <c r="I43" s="216"/>
      <c r="J43" s="200"/>
      <c r="K43" s="200"/>
      <c r="L43" s="200"/>
      <c r="M43" s="200"/>
      <c r="N43" s="200"/>
    </row>
    <row r="44" spans="1:14" ht="14.25">
      <c r="A44" s="213" t="s">
        <v>134</v>
      </c>
      <c r="B44" s="214">
        <v>44627.37</v>
      </c>
      <c r="C44" s="214">
        <v>13153.35</v>
      </c>
      <c r="D44" s="214">
        <v>13717.8</v>
      </c>
      <c r="E44" s="215">
        <v>16663</v>
      </c>
      <c r="F44" s="461">
        <v>21533</v>
      </c>
      <c r="G44" s="200"/>
      <c r="H44" s="200"/>
      <c r="I44" s="216"/>
      <c r="J44" s="200"/>
      <c r="K44" s="200"/>
      <c r="L44" s="200"/>
      <c r="M44" s="200"/>
      <c r="N44" s="200"/>
    </row>
    <row r="45" spans="1:14" ht="14.25">
      <c r="A45" s="213" t="s">
        <v>140</v>
      </c>
      <c r="B45" s="214">
        <v>0</v>
      </c>
      <c r="C45" s="214">
        <v>0</v>
      </c>
      <c r="D45" s="214">
        <v>0</v>
      </c>
      <c r="E45" s="215">
        <v>13391</v>
      </c>
      <c r="F45" s="462">
        <v>0</v>
      </c>
      <c r="G45" s="200"/>
      <c r="H45" s="200"/>
      <c r="I45" s="200"/>
      <c r="J45" s="200"/>
      <c r="K45" s="200"/>
      <c r="L45" s="200"/>
      <c r="M45" s="200"/>
      <c r="N45" s="200"/>
    </row>
    <row r="46" spans="1:14" ht="14.25">
      <c r="A46" s="213" t="s">
        <v>220</v>
      </c>
      <c r="B46" s="214">
        <v>0</v>
      </c>
      <c r="C46" s="214">
        <v>141</v>
      </c>
      <c r="D46" s="214">
        <v>114</v>
      </c>
      <c r="E46" s="217">
        <v>0</v>
      </c>
      <c r="F46" s="461">
        <v>3165</v>
      </c>
      <c r="G46" s="200"/>
      <c r="H46" s="200"/>
      <c r="I46" s="200"/>
      <c r="J46" s="200"/>
      <c r="K46" s="200"/>
      <c r="L46" s="200"/>
      <c r="M46" s="200"/>
      <c r="N46" s="200"/>
    </row>
    <row r="47" spans="1:14" ht="14.25">
      <c r="A47" s="213"/>
      <c r="B47" s="214"/>
      <c r="C47" s="214"/>
      <c r="D47" s="214"/>
      <c r="E47" s="217"/>
      <c r="F47" s="463"/>
      <c r="G47" s="200"/>
      <c r="H47" s="200"/>
      <c r="I47" s="200"/>
      <c r="J47" s="200"/>
      <c r="K47" s="200"/>
      <c r="L47" s="200"/>
      <c r="M47" s="200"/>
      <c r="N47" s="200"/>
    </row>
    <row r="48" spans="1:14" ht="15">
      <c r="A48" s="218" t="s">
        <v>40</v>
      </c>
      <c r="B48" s="219">
        <f>SUM(B36:B46)</f>
        <v>373063.44</v>
      </c>
      <c r="C48" s="219">
        <f>SUM(C36:C46)</f>
        <v>291569.69</v>
      </c>
      <c r="D48" s="219">
        <f>SUM(D36:D46)</f>
        <v>389207.72</v>
      </c>
      <c r="E48" s="219">
        <f>SUM(E36:E46)</f>
        <v>392271</v>
      </c>
      <c r="F48" s="219">
        <f>SUM(F36:F46)</f>
        <v>265278</v>
      </c>
      <c r="G48" s="200"/>
      <c r="H48" s="200"/>
      <c r="I48" s="200"/>
      <c r="J48" s="200"/>
      <c r="K48" s="200"/>
      <c r="L48" s="200"/>
      <c r="M48" s="200"/>
      <c r="N48" s="200"/>
    </row>
    <row r="49" spans="1:14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</row>
    <row r="50" spans="1:14" ht="14.25">
      <c r="A50" s="32" t="s">
        <v>223</v>
      </c>
      <c r="B50" s="207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</row>
    <row r="59" spans="1:14">
      <c r="A59" s="635"/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</row>
  </sheetData>
  <mergeCells count="5">
    <mergeCell ref="B5:L5"/>
    <mergeCell ref="A15:N15"/>
    <mergeCell ref="D19:J19"/>
    <mergeCell ref="D24:J24"/>
    <mergeCell ref="B35:F35"/>
  </mergeCells>
  <pageMargins left="0.75" right="0.17" top="1" bottom="0.17" header="0.17" footer="0.17"/>
  <pageSetup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C169-0F19-44BF-B305-E9B46957F9A8}">
  <sheetPr>
    <pageSetUpPr fitToPage="1"/>
  </sheetPr>
  <dimension ref="A1:O64"/>
  <sheetViews>
    <sheetView showWhiteSpace="0" zoomScaleNormal="100" workbookViewId="0">
      <selection activeCell="L16" sqref="L16"/>
    </sheetView>
  </sheetViews>
  <sheetFormatPr defaultColWidth="8.85546875" defaultRowHeight="12.75"/>
  <cols>
    <col min="1" max="1" width="51.28515625" style="161" customWidth="1"/>
    <col min="2" max="2" width="18.42578125" style="161" customWidth="1"/>
    <col min="3" max="4" width="15" style="161" customWidth="1"/>
    <col min="5" max="5" width="21.85546875" style="161" customWidth="1"/>
    <col min="6" max="7" width="15" style="161" customWidth="1"/>
    <col min="8" max="8" width="21.140625" style="161" customWidth="1"/>
    <col min="9" max="10" width="8.85546875" style="161"/>
    <col min="11" max="11" width="13" style="161" customWidth="1"/>
    <col min="12" max="12" width="10.42578125" style="161" customWidth="1"/>
    <col min="13" max="16384" width="8.85546875" style="161"/>
  </cols>
  <sheetData>
    <row r="1" spans="1:8" s="168" customFormat="1" ht="23.45" customHeight="1">
      <c r="A1" s="849" t="s">
        <v>224</v>
      </c>
      <c r="B1" s="850"/>
      <c r="C1" s="850"/>
      <c r="D1" s="850"/>
      <c r="E1" s="850"/>
      <c r="F1" s="850"/>
      <c r="G1" s="752"/>
      <c r="H1" s="752"/>
    </row>
    <row r="2" spans="1:8" ht="39.6" customHeight="1">
      <c r="A2" s="129"/>
      <c r="B2" s="519" t="s">
        <v>225</v>
      </c>
      <c r="C2" s="222" t="s">
        <v>21</v>
      </c>
      <c r="D2" s="221" t="s">
        <v>226</v>
      </c>
      <c r="E2" s="192" t="s">
        <v>227</v>
      </c>
      <c r="F2" s="220" t="s">
        <v>21</v>
      </c>
      <c r="G2" s="220" t="s">
        <v>226</v>
      </c>
      <c r="H2" s="193" t="s">
        <v>228</v>
      </c>
    </row>
    <row r="3" spans="1:8" ht="16.149999999999999" customHeight="1">
      <c r="A3" s="130"/>
      <c r="B3" s="131" t="s">
        <v>25</v>
      </c>
      <c r="C3" s="851" t="s">
        <v>229</v>
      </c>
      <c r="D3" s="852"/>
      <c r="E3" s="853"/>
      <c r="F3" s="854" t="s">
        <v>230</v>
      </c>
      <c r="G3" s="855"/>
      <c r="H3" s="856"/>
    </row>
    <row r="4" spans="1:8" ht="14.25">
      <c r="A4" s="117"/>
      <c r="B4" s="118"/>
      <c r="C4" s="375"/>
      <c r="D4" s="375"/>
      <c r="E4" s="119"/>
      <c r="F4" s="362"/>
      <c r="G4" s="362"/>
      <c r="H4" s="194"/>
    </row>
    <row r="5" spans="1:8" ht="15">
      <c r="A5" s="395" t="s">
        <v>231</v>
      </c>
      <c r="B5" s="396"/>
      <c r="C5" s="397"/>
      <c r="D5" s="397"/>
      <c r="E5" s="398"/>
      <c r="F5" s="399"/>
      <c r="G5" s="399"/>
      <c r="H5" s="400"/>
    </row>
    <row r="6" spans="1:8" ht="14.25">
      <c r="A6" s="533" t="s">
        <v>232</v>
      </c>
      <c r="B6" s="397">
        <v>1117195</v>
      </c>
      <c r="C6" s="402">
        <v>1117195</v>
      </c>
      <c r="D6" s="402">
        <v>1117195</v>
      </c>
      <c r="E6" s="402">
        <f t="shared" ref="E6:E11" si="0">+D6-C6</f>
        <v>0</v>
      </c>
      <c r="F6" s="403">
        <f t="shared" ref="F6:G11" si="1">C6*1.10231125</f>
        <v>1231496.6169437501</v>
      </c>
      <c r="G6" s="403">
        <f t="shared" si="1"/>
        <v>1231496.6169437501</v>
      </c>
      <c r="H6" s="404">
        <f t="shared" ref="H6:H11" si="2">+G6-F6</f>
        <v>0</v>
      </c>
    </row>
    <row r="7" spans="1:8" ht="14.25">
      <c r="A7" s="533" t="s">
        <v>233</v>
      </c>
      <c r="B7" s="397"/>
      <c r="C7" s="402">
        <v>90718</v>
      </c>
      <c r="D7" s="402">
        <v>90718</v>
      </c>
      <c r="E7" s="402">
        <f t="shared" si="0"/>
        <v>0</v>
      </c>
      <c r="F7" s="403">
        <f t="shared" si="1"/>
        <v>99999.471977500012</v>
      </c>
      <c r="G7" s="403">
        <f t="shared" si="1"/>
        <v>99999.471977500012</v>
      </c>
      <c r="H7" s="404">
        <f t="shared" si="2"/>
        <v>0</v>
      </c>
    </row>
    <row r="8" spans="1:8" ht="14.25">
      <c r="A8" s="889" t="s">
        <v>234</v>
      </c>
      <c r="B8" s="397"/>
      <c r="C8" s="402">
        <f>+C6+C7</f>
        <v>1207913</v>
      </c>
      <c r="D8" s="402">
        <f>+D6+D7</f>
        <v>1207913</v>
      </c>
      <c r="E8" s="402">
        <f t="shared" si="0"/>
        <v>0</v>
      </c>
      <c r="F8" s="403">
        <f t="shared" si="1"/>
        <v>1331496.0889212501</v>
      </c>
      <c r="G8" s="403">
        <f t="shared" si="1"/>
        <v>1331496.0889212501</v>
      </c>
      <c r="H8" s="404">
        <f t="shared" si="2"/>
        <v>0</v>
      </c>
    </row>
    <row r="9" spans="1:8" ht="14.25">
      <c r="A9" s="533" t="s">
        <v>235</v>
      </c>
      <c r="B9" s="396"/>
      <c r="C9" s="402">
        <v>83313</v>
      </c>
      <c r="D9" s="402">
        <v>83313</v>
      </c>
      <c r="E9" s="402">
        <f t="shared" si="0"/>
        <v>0</v>
      </c>
      <c r="F9" s="403">
        <f t="shared" ref="F9" si="3">C9*1.10231125</f>
        <v>91836.857171250012</v>
      </c>
      <c r="G9" s="403">
        <f t="shared" ref="G9" si="4">D9*1.10231125</f>
        <v>91836.857171250012</v>
      </c>
      <c r="H9" s="404">
        <f t="shared" si="2"/>
        <v>0</v>
      </c>
    </row>
    <row r="10" spans="1:8" ht="14.25">
      <c r="A10" s="533" t="s">
        <v>236</v>
      </c>
      <c r="B10" s="396"/>
      <c r="C10" s="397">
        <v>-120000</v>
      </c>
      <c r="D10" s="397">
        <f>-'Table 3A WTO Raw  '!$T$46</f>
        <v>-120000</v>
      </c>
      <c r="E10" s="402">
        <f t="shared" si="0"/>
        <v>0</v>
      </c>
      <c r="F10" s="403">
        <f t="shared" si="1"/>
        <v>-132277.35</v>
      </c>
      <c r="G10" s="403">
        <f t="shared" si="1"/>
        <v>-132277.35</v>
      </c>
      <c r="H10" s="404">
        <f t="shared" si="2"/>
        <v>0</v>
      </c>
    </row>
    <row r="11" spans="1:8" ht="15">
      <c r="A11" s="395" t="s">
        <v>237</v>
      </c>
      <c r="B11" s="405">
        <f>SUM(B6:B10)</f>
        <v>1117195</v>
      </c>
      <c r="C11" s="406">
        <f>SUM(C8:C10)</f>
        <v>1171226</v>
      </c>
      <c r="D11" s="406">
        <f>SUM(D8:D10)</f>
        <v>1171226</v>
      </c>
      <c r="E11" s="406">
        <f t="shared" si="0"/>
        <v>0</v>
      </c>
      <c r="F11" s="407">
        <f t="shared" si="1"/>
        <v>1291055.5960925</v>
      </c>
      <c r="G11" s="407">
        <f t="shared" si="1"/>
        <v>1291055.5960925</v>
      </c>
      <c r="H11" s="408">
        <f t="shared" si="2"/>
        <v>0</v>
      </c>
    </row>
    <row r="12" spans="1:8" ht="10.9" customHeight="1">
      <c r="A12" s="396"/>
      <c r="B12" s="397"/>
      <c r="C12" s="397"/>
      <c r="D12" s="397"/>
      <c r="E12" s="398"/>
      <c r="F12" s="399"/>
      <c r="G12" s="399"/>
      <c r="H12" s="400"/>
    </row>
    <row r="13" spans="1:8" ht="15">
      <c r="A13" s="395" t="s">
        <v>238</v>
      </c>
      <c r="B13" s="397"/>
      <c r="C13" s="397"/>
      <c r="D13" s="397"/>
      <c r="E13" s="398"/>
      <c r="F13" s="399"/>
      <c r="G13" s="399"/>
      <c r="H13" s="400"/>
    </row>
    <row r="14" spans="1:8" ht="14.25">
      <c r="A14" s="533" t="s">
        <v>239</v>
      </c>
      <c r="B14" s="409">
        <v>10300</v>
      </c>
      <c r="C14" s="409">
        <v>10300</v>
      </c>
      <c r="D14" s="409">
        <v>10300</v>
      </c>
      <c r="E14" s="409">
        <f>+D14-C14</f>
        <v>0</v>
      </c>
      <c r="F14" s="410">
        <f t="shared" ref="F14:G16" si="5">C14*1.10231125</f>
        <v>11353.805875</v>
      </c>
      <c r="G14" s="410">
        <f t="shared" si="5"/>
        <v>11353.805875</v>
      </c>
      <c r="H14" s="411">
        <f t="shared" ref="H14:H20" si="6">+G14-F14</f>
        <v>0</v>
      </c>
    </row>
    <row r="15" spans="1:8" ht="14.25">
      <c r="A15" s="533" t="s">
        <v>240</v>
      </c>
      <c r="B15" s="409">
        <v>2954</v>
      </c>
      <c r="C15" s="409">
        <v>0</v>
      </c>
      <c r="D15" s="409">
        <v>0</v>
      </c>
      <c r="E15" s="409">
        <f>+D15-C15</f>
        <v>0</v>
      </c>
      <c r="F15" s="410">
        <f t="shared" si="5"/>
        <v>0</v>
      </c>
      <c r="G15" s="410">
        <f t="shared" si="5"/>
        <v>0</v>
      </c>
      <c r="H15" s="412">
        <f t="shared" si="6"/>
        <v>0</v>
      </c>
    </row>
    <row r="16" spans="1:8" ht="14.25">
      <c r="A16" s="533" t="s">
        <v>241</v>
      </c>
      <c r="B16" s="409">
        <v>7090</v>
      </c>
      <c r="C16" s="409">
        <v>7090</v>
      </c>
      <c r="D16" s="409">
        <v>7090</v>
      </c>
      <c r="E16" s="409">
        <f>+D16-C16</f>
        <v>0</v>
      </c>
      <c r="F16" s="410">
        <f t="shared" si="5"/>
        <v>7815.3867625000003</v>
      </c>
      <c r="G16" s="410">
        <f t="shared" si="5"/>
        <v>7815.3867625000003</v>
      </c>
      <c r="H16" s="411">
        <f t="shared" si="6"/>
        <v>0</v>
      </c>
    </row>
    <row r="17" spans="1:8" ht="13.15" customHeight="1">
      <c r="A17" s="396"/>
      <c r="B17" s="397"/>
      <c r="C17" s="397"/>
      <c r="D17" s="397"/>
      <c r="E17" s="398"/>
      <c r="F17" s="403"/>
      <c r="G17" s="403"/>
      <c r="H17" s="413"/>
    </row>
    <row r="18" spans="1:8" ht="14.25">
      <c r="A18" s="401" t="s">
        <v>242</v>
      </c>
      <c r="B18" s="397"/>
      <c r="C18" s="397"/>
      <c r="D18" s="397"/>
      <c r="E18" s="398"/>
      <c r="F18" s="403"/>
      <c r="G18" s="403"/>
      <c r="H18" s="413"/>
    </row>
    <row r="19" spans="1:8" ht="14.25">
      <c r="A19" s="533" t="s">
        <v>243</v>
      </c>
      <c r="B19" s="397">
        <v>1656</v>
      </c>
      <c r="C19" s="397">
        <v>1656</v>
      </c>
      <c r="D19" s="397">
        <v>1656</v>
      </c>
      <c r="E19" s="398">
        <f>+D19-C19</f>
        <v>0</v>
      </c>
      <c r="F19" s="403">
        <f t="shared" ref="F19:G21" si="7">C19*1.10231125</f>
        <v>1825.4274300000002</v>
      </c>
      <c r="G19" s="403">
        <f t="shared" si="7"/>
        <v>1825.4274300000002</v>
      </c>
      <c r="H19" s="413">
        <f t="shared" si="6"/>
        <v>0</v>
      </c>
    </row>
    <row r="20" spans="1:8" ht="14.25">
      <c r="A20" s="533" t="s">
        <v>244</v>
      </c>
      <c r="B20" s="414">
        <v>200000</v>
      </c>
      <c r="C20" s="414">
        <v>200000</v>
      </c>
      <c r="D20" s="414">
        <v>200000</v>
      </c>
      <c r="E20" s="398">
        <f>+D20-C20</f>
        <v>0</v>
      </c>
      <c r="F20" s="403">
        <f t="shared" si="7"/>
        <v>220462.25000000003</v>
      </c>
      <c r="G20" s="403">
        <f t="shared" si="7"/>
        <v>220462.25000000003</v>
      </c>
      <c r="H20" s="415">
        <f t="shared" si="6"/>
        <v>0</v>
      </c>
    </row>
    <row r="21" spans="1:8" ht="15">
      <c r="A21" s="395" t="s">
        <v>245</v>
      </c>
      <c r="B21" s="405">
        <f>SUM(B14:B20)</f>
        <v>222000</v>
      </c>
      <c r="C21" s="405">
        <f>SUM(C14:C20)</f>
        <v>219046</v>
      </c>
      <c r="D21" s="405">
        <f>SUM(D14:D20)</f>
        <v>219046</v>
      </c>
      <c r="E21" s="406">
        <f>+D21-C21</f>
        <v>0</v>
      </c>
      <c r="F21" s="407">
        <f t="shared" si="7"/>
        <v>241456.87006750001</v>
      </c>
      <c r="G21" s="407">
        <f t="shared" si="7"/>
        <v>241456.87006750001</v>
      </c>
      <c r="H21" s="408">
        <f>+G21-F21</f>
        <v>0</v>
      </c>
    </row>
    <row r="22" spans="1:8" ht="13.15" customHeight="1">
      <c r="A22" s="396"/>
      <c r="B22" s="397"/>
      <c r="C22" s="397"/>
      <c r="D22" s="397"/>
      <c r="E22" s="398"/>
      <c r="F22" s="399"/>
      <c r="G22" s="399"/>
      <c r="H22" s="400"/>
    </row>
    <row r="23" spans="1:8" ht="15">
      <c r="A23" s="395" t="s">
        <v>246</v>
      </c>
      <c r="B23" s="397"/>
      <c r="C23" s="416"/>
      <c r="D23" s="416"/>
      <c r="E23" s="417"/>
      <c r="F23" s="399"/>
      <c r="G23" s="399"/>
      <c r="H23" s="400"/>
    </row>
    <row r="24" spans="1:8" ht="14.25">
      <c r="A24" s="533" t="s">
        <v>247</v>
      </c>
      <c r="B24" s="418">
        <v>145220</v>
      </c>
      <c r="C24" s="397"/>
      <c r="D24" s="397"/>
      <c r="E24" s="398"/>
      <c r="F24" s="399"/>
      <c r="G24" s="399"/>
      <c r="H24" s="400"/>
    </row>
    <row r="25" spans="1:8" ht="14.25">
      <c r="A25" s="533" t="s">
        <v>248</v>
      </c>
      <c r="B25" s="397"/>
      <c r="C25" s="419">
        <v>13000</v>
      </c>
      <c r="D25" s="419">
        <v>13000</v>
      </c>
      <c r="E25" s="402">
        <f t="shared" ref="E25:E54" si="8">+D25-C25</f>
        <v>0</v>
      </c>
      <c r="F25" s="403">
        <f>C25*1.10231125</f>
        <v>14330.046250000001</v>
      </c>
      <c r="G25" s="403">
        <f>D25*1.10231125</f>
        <v>14330.046250000001</v>
      </c>
      <c r="H25" s="404">
        <f t="shared" ref="H25:H54" si="9">+G25-F25</f>
        <v>0</v>
      </c>
    </row>
    <row r="26" spans="1:8" ht="14.25">
      <c r="A26" s="533" t="s">
        <v>249</v>
      </c>
      <c r="B26" s="397"/>
      <c r="C26" s="419">
        <v>123508.38660968661</v>
      </c>
      <c r="D26" s="419">
        <v>123508.38660968661</v>
      </c>
      <c r="E26" s="419">
        <f t="shared" si="8"/>
        <v>0</v>
      </c>
      <c r="F26" s="403">
        <f>C26*1.10231125</f>
        <v>136144.68402920692</v>
      </c>
      <c r="G26" s="403">
        <f>D26*1.10231125</f>
        <v>136144.68402920692</v>
      </c>
      <c r="H26" s="413">
        <f t="shared" si="9"/>
        <v>0</v>
      </c>
    </row>
    <row r="27" spans="1:8" ht="10.9" customHeight="1">
      <c r="A27" s="533"/>
      <c r="B27" s="397"/>
      <c r="C27" s="419"/>
      <c r="D27" s="419"/>
      <c r="E27" s="419"/>
      <c r="F27" s="403"/>
      <c r="G27" s="403"/>
      <c r="H27" s="413"/>
    </row>
    <row r="28" spans="1:8" ht="14.25">
      <c r="A28" s="533" t="s">
        <v>250</v>
      </c>
      <c r="B28" s="397">
        <v>2000</v>
      </c>
      <c r="C28" s="419"/>
      <c r="D28" s="419"/>
      <c r="E28" s="419"/>
      <c r="F28" s="403"/>
      <c r="G28" s="403"/>
      <c r="H28" s="413"/>
    </row>
    <row r="29" spans="1:8" ht="14.25">
      <c r="A29" s="533" t="s">
        <v>248</v>
      </c>
      <c r="B29" s="397"/>
      <c r="C29" s="419">
        <v>0</v>
      </c>
      <c r="D29" s="419">
        <v>0</v>
      </c>
      <c r="E29" s="419">
        <f t="shared" si="8"/>
        <v>0</v>
      </c>
      <c r="F29" s="403">
        <f>C29*1.10231125</f>
        <v>0</v>
      </c>
      <c r="G29" s="403">
        <f>D29*1.10231125</f>
        <v>0</v>
      </c>
      <c r="H29" s="413">
        <f t="shared" si="9"/>
        <v>0</v>
      </c>
    </row>
    <row r="30" spans="1:8" ht="14.25">
      <c r="A30" s="533" t="s">
        <v>249</v>
      </c>
      <c r="B30" s="397"/>
      <c r="C30" s="419">
        <v>0</v>
      </c>
      <c r="D30" s="419">
        <v>0</v>
      </c>
      <c r="E30" s="419">
        <f t="shared" si="8"/>
        <v>0</v>
      </c>
      <c r="F30" s="403">
        <f>C30*1.10231125</f>
        <v>0</v>
      </c>
      <c r="G30" s="403">
        <f>D30*1.10231125</f>
        <v>0</v>
      </c>
      <c r="H30" s="413">
        <f t="shared" si="9"/>
        <v>0</v>
      </c>
    </row>
    <row r="31" spans="1:8" ht="10.9" customHeight="1">
      <c r="A31" s="533"/>
      <c r="B31" s="397"/>
      <c r="C31" s="419"/>
      <c r="D31" s="419"/>
      <c r="E31" s="419"/>
      <c r="F31" s="403"/>
      <c r="G31" s="403"/>
      <c r="H31" s="413"/>
    </row>
    <row r="32" spans="1:8" ht="14.25">
      <c r="A32" s="533" t="s">
        <v>251</v>
      </c>
      <c r="B32" s="397">
        <v>57500</v>
      </c>
      <c r="C32" s="419"/>
      <c r="D32" s="419"/>
      <c r="E32" s="419"/>
      <c r="F32" s="403"/>
      <c r="G32" s="403"/>
      <c r="H32" s="413"/>
    </row>
    <row r="33" spans="1:8" ht="14.25">
      <c r="A33" s="533" t="s">
        <v>248</v>
      </c>
      <c r="B33" s="397"/>
      <c r="C33" s="419">
        <v>19801</v>
      </c>
      <c r="D33" s="419">
        <v>19801</v>
      </c>
      <c r="E33" s="402">
        <f t="shared" si="8"/>
        <v>0</v>
      </c>
      <c r="F33" s="403">
        <f>C33*1.10231125</f>
        <v>21826.865061250002</v>
      </c>
      <c r="G33" s="403">
        <f>D33*1.10231125</f>
        <v>21826.865061250002</v>
      </c>
      <c r="H33" s="404">
        <f t="shared" si="9"/>
        <v>0</v>
      </c>
    </row>
    <row r="34" spans="1:8" ht="14.25">
      <c r="A34" s="533" t="s">
        <v>249</v>
      </c>
      <c r="B34" s="397"/>
      <c r="C34" s="419">
        <v>39358.370044052863</v>
      </c>
      <c r="D34" s="419">
        <v>39358.370044052863</v>
      </c>
      <c r="E34" s="419">
        <f t="shared" si="8"/>
        <v>0</v>
      </c>
      <c r="F34" s="403">
        <f>C34*1.10231125</f>
        <v>43385.174081222467</v>
      </c>
      <c r="G34" s="403">
        <f>D34*1.10231125</f>
        <v>43385.174081222467</v>
      </c>
      <c r="H34" s="404">
        <f t="shared" si="9"/>
        <v>0</v>
      </c>
    </row>
    <row r="35" spans="1:8" ht="10.9" customHeight="1">
      <c r="A35" s="533"/>
      <c r="B35" s="397"/>
      <c r="C35" s="418"/>
      <c r="D35" s="418"/>
      <c r="E35" s="420"/>
      <c r="F35" s="403"/>
      <c r="G35" s="403"/>
      <c r="H35" s="404"/>
    </row>
    <row r="36" spans="1:8" ht="14.25">
      <c r="A36" s="533" t="s">
        <v>252</v>
      </c>
      <c r="B36" s="414">
        <v>7100</v>
      </c>
      <c r="C36" s="421"/>
      <c r="D36" s="421"/>
      <c r="E36" s="421"/>
      <c r="F36" s="403"/>
      <c r="G36" s="403"/>
      <c r="H36" s="404"/>
    </row>
    <row r="37" spans="1:8" ht="14.25">
      <c r="A37" s="533" t="s">
        <v>248</v>
      </c>
      <c r="B37" s="414"/>
      <c r="C37" s="421">
        <v>1041</v>
      </c>
      <c r="D37" s="421">
        <v>1041</v>
      </c>
      <c r="E37" s="528">
        <f t="shared" si="8"/>
        <v>0</v>
      </c>
      <c r="F37" s="403">
        <f>C37*1.10231125</f>
        <v>1147.50601125</v>
      </c>
      <c r="G37" s="403">
        <f>D37*1.10231125</f>
        <v>1147.50601125</v>
      </c>
      <c r="H37" s="404">
        <f t="shared" si="9"/>
        <v>0</v>
      </c>
    </row>
    <row r="38" spans="1:8" ht="14.25">
      <c r="A38" s="533" t="s">
        <v>249</v>
      </c>
      <c r="B38" s="414"/>
      <c r="C38" s="421">
        <v>6264</v>
      </c>
      <c r="D38" s="421">
        <v>6264</v>
      </c>
      <c r="E38" s="421">
        <f t="shared" si="8"/>
        <v>0</v>
      </c>
      <c r="F38" s="403">
        <f>C38*1.10231125</f>
        <v>6904.8776700000008</v>
      </c>
      <c r="G38" s="403">
        <f>D38*1.10231125</f>
        <v>6904.8776700000008</v>
      </c>
      <c r="H38" s="413">
        <f t="shared" si="9"/>
        <v>0</v>
      </c>
    </row>
    <row r="39" spans="1:8" ht="10.9" customHeight="1">
      <c r="A39" s="533"/>
      <c r="B39" s="414"/>
      <c r="C39" s="422"/>
      <c r="D39" s="422"/>
      <c r="E39" s="423"/>
      <c r="F39" s="403"/>
      <c r="G39" s="403"/>
      <c r="H39" s="413"/>
    </row>
    <row r="40" spans="1:8" ht="14.25">
      <c r="A40" s="533" t="s">
        <v>253</v>
      </c>
      <c r="B40" s="414">
        <v>9600</v>
      </c>
      <c r="C40" s="424"/>
      <c r="D40" s="424"/>
      <c r="E40" s="422"/>
      <c r="F40" s="424"/>
      <c r="G40" s="424"/>
      <c r="H40" s="413"/>
    </row>
    <row r="41" spans="1:8" ht="14.25">
      <c r="A41" s="533" t="s">
        <v>248</v>
      </c>
      <c r="B41" s="414"/>
      <c r="C41" s="422">
        <v>1393</v>
      </c>
      <c r="D41" s="422">
        <v>1393</v>
      </c>
      <c r="E41" s="426">
        <f t="shared" si="8"/>
        <v>0</v>
      </c>
      <c r="F41" s="403">
        <f>C41*1.10231125</f>
        <v>1535.5195712500001</v>
      </c>
      <c r="G41" s="403">
        <f>D41*1.10231125</f>
        <v>1535.5195712500001</v>
      </c>
      <c r="H41" s="425">
        <f t="shared" si="9"/>
        <v>0</v>
      </c>
    </row>
    <row r="42" spans="1:8" ht="14.25">
      <c r="A42" s="533" t="s">
        <v>249</v>
      </c>
      <c r="B42" s="414"/>
      <c r="C42" s="422">
        <v>7200</v>
      </c>
      <c r="D42" s="422">
        <v>7200</v>
      </c>
      <c r="E42" s="423">
        <f t="shared" si="8"/>
        <v>0</v>
      </c>
      <c r="F42" s="403">
        <f>C42*1.10231125</f>
        <v>7936.6410000000005</v>
      </c>
      <c r="G42" s="403">
        <f>D42*1.10231125</f>
        <v>7936.6410000000005</v>
      </c>
      <c r="H42" s="425">
        <f t="shared" si="9"/>
        <v>0</v>
      </c>
    </row>
    <row r="43" spans="1:8" ht="10.9" customHeight="1">
      <c r="A43" s="401"/>
      <c r="B43" s="414"/>
      <c r="C43" s="414"/>
      <c r="D43" s="414"/>
      <c r="E43" s="426"/>
      <c r="F43" s="399"/>
      <c r="G43" s="399"/>
      <c r="H43" s="413"/>
    </row>
    <row r="44" spans="1:8" ht="16.5">
      <c r="A44" s="395" t="s">
        <v>254</v>
      </c>
      <c r="B44" s="405">
        <f>SUM(B24:B42)</f>
        <v>221420</v>
      </c>
      <c r="C44" s="405">
        <f>SUM(C24:C42)</f>
        <v>211565.75665373946</v>
      </c>
      <c r="D44" s="405">
        <f>SUM(D24:D42)</f>
        <v>211565.75665373946</v>
      </c>
      <c r="E44" s="406">
        <f t="shared" si="8"/>
        <v>0</v>
      </c>
      <c r="F44" s="427">
        <f>SUM(F24:F42)</f>
        <v>233211.3136741794</v>
      </c>
      <c r="G44" s="427">
        <f>SUM(G24:G42)</f>
        <v>233211.3136741794</v>
      </c>
      <c r="H44" s="408">
        <f t="shared" si="9"/>
        <v>0</v>
      </c>
    </row>
    <row r="45" spans="1:8" ht="15">
      <c r="A45" s="428"/>
      <c r="B45" s="397"/>
      <c r="C45" s="397"/>
      <c r="D45" s="397"/>
      <c r="E45" s="398"/>
      <c r="F45" s="429"/>
      <c r="G45" s="429"/>
      <c r="H45" s="413"/>
    </row>
    <row r="46" spans="1:8" ht="16.5">
      <c r="A46" s="428" t="s">
        <v>255</v>
      </c>
      <c r="B46" s="405">
        <f>B11+B21+B44</f>
        <v>1560615</v>
      </c>
      <c r="C46" s="405">
        <f>C11+C21+C44</f>
        <v>1601837.7566537394</v>
      </c>
      <c r="D46" s="405">
        <f>D11+D21+D44</f>
        <v>1601837.7566537394</v>
      </c>
      <c r="E46" s="406">
        <f t="shared" si="8"/>
        <v>0</v>
      </c>
      <c r="F46" s="427">
        <f>F11+F21+F44</f>
        <v>1765723.7798341794</v>
      </c>
      <c r="G46" s="427">
        <f>G11+G21+G44</f>
        <v>1765723.7798341794</v>
      </c>
      <c r="H46" s="408">
        <f t="shared" si="9"/>
        <v>0</v>
      </c>
    </row>
    <row r="47" spans="1:8" ht="10.9" customHeight="1">
      <c r="A47" s="428"/>
      <c r="B47" s="397"/>
      <c r="C47" s="397"/>
      <c r="D47" s="397"/>
      <c r="E47" s="398"/>
      <c r="F47" s="429"/>
      <c r="G47" s="429"/>
      <c r="H47" s="413"/>
    </row>
    <row r="48" spans="1:8" ht="17.45" customHeight="1">
      <c r="A48" s="533" t="s">
        <v>256</v>
      </c>
      <c r="B48" s="430"/>
      <c r="C48" s="430">
        <f>F48/1.10231125</f>
        <v>1229427.7138149501</v>
      </c>
      <c r="D48" s="430">
        <f>G48/1.10231125</f>
        <v>1229427.7138149501</v>
      </c>
      <c r="E48" s="431">
        <f>+D48-C48</f>
        <v>0</v>
      </c>
      <c r="F48" s="432">
        <v>1355212</v>
      </c>
      <c r="G48" s="432">
        <v>1355212</v>
      </c>
      <c r="H48" s="404">
        <f t="shared" si="9"/>
        <v>0</v>
      </c>
    </row>
    <row r="49" spans="1:15" ht="10.9" customHeight="1">
      <c r="A49" s="533"/>
      <c r="B49" s="397"/>
      <c r="C49" s="433"/>
      <c r="D49" s="433"/>
      <c r="E49" s="434"/>
      <c r="F49" s="432"/>
      <c r="G49" s="432"/>
      <c r="H49" s="425"/>
    </row>
    <row r="50" spans="1:15" ht="21.6" customHeight="1">
      <c r="A50" s="533" t="s">
        <v>257</v>
      </c>
      <c r="B50" s="397"/>
      <c r="C50" s="433">
        <f>F50/1.10231125</f>
        <v>272155.43704194255</v>
      </c>
      <c r="D50" s="433">
        <f>G50/1.10231125</f>
        <v>272155.43704194255</v>
      </c>
      <c r="E50" s="434">
        <f t="shared" si="8"/>
        <v>0</v>
      </c>
      <c r="F50" s="432">
        <v>300000</v>
      </c>
      <c r="G50" s="432">
        <v>300000</v>
      </c>
      <c r="H50" s="425">
        <f t="shared" si="9"/>
        <v>0</v>
      </c>
      <c r="L50" s="369"/>
      <c r="O50" s="369"/>
    </row>
    <row r="51" spans="1:15" ht="10.9" customHeight="1">
      <c r="A51" s="533"/>
      <c r="B51" s="397"/>
      <c r="C51" s="433"/>
      <c r="D51" s="433"/>
      <c r="E51" s="434"/>
      <c r="F51" s="432"/>
      <c r="G51" s="432"/>
      <c r="H51" s="425"/>
      <c r="L51" s="394"/>
    </row>
    <row r="52" spans="1:15" ht="14.25">
      <c r="A52" s="533" t="s">
        <v>258</v>
      </c>
      <c r="B52" s="397"/>
      <c r="C52" s="433">
        <f>F52/1.10231125</f>
        <v>252592.91001421693</v>
      </c>
      <c r="D52" s="433">
        <f>G52/1.10231125</f>
        <v>294835.05679543776</v>
      </c>
      <c r="E52" s="434">
        <f t="shared" si="8"/>
        <v>42242.146781220828</v>
      </c>
      <c r="F52" s="723">
        <v>278436.00637890899</v>
      </c>
      <c r="G52" s="723">
        <v>325000</v>
      </c>
      <c r="H52" s="722">
        <f t="shared" si="9"/>
        <v>46563.993621091009</v>
      </c>
      <c r="L52" s="394"/>
    </row>
    <row r="53" spans="1:15" ht="11.45" customHeight="1">
      <c r="A53" s="428"/>
      <c r="B53" s="397"/>
      <c r="C53" s="397"/>
      <c r="D53" s="397"/>
      <c r="E53" s="398"/>
      <c r="F53" s="435"/>
      <c r="G53" s="435"/>
      <c r="H53" s="425"/>
    </row>
    <row r="54" spans="1:15" ht="15.6" customHeight="1">
      <c r="A54" s="436" t="s">
        <v>259</v>
      </c>
      <c r="B54" s="437"/>
      <c r="C54" s="437">
        <f>C46+C48+C50+C52</f>
        <v>3356013.817524849</v>
      </c>
      <c r="D54" s="437">
        <f>D46+D48+D50+D52</f>
        <v>3398255.96430607</v>
      </c>
      <c r="E54" s="438">
        <f t="shared" si="8"/>
        <v>42242.146781221032</v>
      </c>
      <c r="F54" s="439">
        <f>F46+F48+F50+F52</f>
        <v>3699371.7862130883</v>
      </c>
      <c r="G54" s="439">
        <f>G46+G48+G50+G52</f>
        <v>3745935.7798341792</v>
      </c>
      <c r="H54" s="440">
        <f t="shared" si="9"/>
        <v>46563.993621090893</v>
      </c>
      <c r="L54" s="369"/>
    </row>
    <row r="55" spans="1:15" ht="14.25">
      <c r="A55" s="44"/>
      <c r="B55" s="119"/>
      <c r="C55" s="119"/>
      <c r="D55" s="119"/>
      <c r="E55" s="119"/>
      <c r="F55" s="119"/>
      <c r="G55" s="119"/>
      <c r="L55" s="394"/>
    </row>
    <row r="56" spans="1:15" s="162" customFormat="1" ht="14.25">
      <c r="A56" s="162" t="s">
        <v>260</v>
      </c>
      <c r="B56" s="163"/>
      <c r="F56" s="119"/>
      <c r="G56" s="119"/>
    </row>
    <row r="57" spans="1:15" s="162" customFormat="1" ht="14.25">
      <c r="A57" s="44" t="s">
        <v>261</v>
      </c>
      <c r="B57" s="163"/>
      <c r="F57" s="119"/>
      <c r="G57" s="119"/>
    </row>
    <row r="58" spans="1:15" s="162" customFormat="1" ht="14.25">
      <c r="A58" s="44" t="s">
        <v>262</v>
      </c>
      <c r="B58" s="119"/>
      <c r="C58" s="119"/>
      <c r="D58" s="119"/>
      <c r="E58" s="119"/>
      <c r="F58" s="119"/>
      <c r="G58" s="119"/>
    </row>
    <row r="59" spans="1:15" s="162" customFormat="1" ht="14.25">
      <c r="A59" s="44" t="s">
        <v>263</v>
      </c>
      <c r="B59" s="119"/>
      <c r="C59" s="119"/>
      <c r="D59" s="119"/>
      <c r="E59" s="119"/>
      <c r="F59" s="119"/>
      <c r="G59" s="119"/>
    </row>
    <row r="60" spans="1:15" s="162" customFormat="1" ht="14.25">
      <c r="A60" s="162" t="s">
        <v>264</v>
      </c>
    </row>
    <row r="61" spans="1:15" ht="14.25">
      <c r="A61" s="162" t="s">
        <v>265</v>
      </c>
      <c r="B61" s="162"/>
    </row>
    <row r="62" spans="1:15" ht="14.25">
      <c r="A62" s="169" t="s">
        <v>266</v>
      </c>
      <c r="B62" s="39"/>
      <c r="C62" s="39"/>
      <c r="D62" s="39"/>
      <c r="E62" s="39"/>
      <c r="F62" s="39"/>
      <c r="G62" s="162"/>
    </row>
    <row r="64" spans="1:15">
      <c r="G64" s="684"/>
    </row>
  </sheetData>
  <mergeCells count="3">
    <mergeCell ref="A1:F1"/>
    <mergeCell ref="C3:E3"/>
    <mergeCell ref="F3:H3"/>
  </mergeCells>
  <pageMargins left="0.5" right="0.17" top="1" bottom="0.17" header="0.17" footer="0.17"/>
  <pageSetup scale="58" orientation="landscape" r:id="rId1"/>
  <ignoredErrors>
    <ignoredError sqref="E44:E46 E54 C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" ma:contentTypeDescription="Create a new document." ma:contentTypeScope="" ma:versionID="af030dfb08261c13d870b02cc5d0046e">
  <xsd:schema xmlns:xsd="http://www.w3.org/2001/XMLSchema" xmlns:xs="http://www.w3.org/2001/XMLSchema" xmlns:p="http://schemas.microsoft.com/office/2006/metadata/properties" xmlns:ns2="df38bbad-0bb0-41a7-b78f-084b382b3af7" targetNamespace="http://schemas.microsoft.com/office/2006/metadata/properties" ma:root="true" ma:fieldsID="9613c4c9a3242d25ff27414e6d6836e6" ns2:_="">
    <xsd:import namespace="df38bbad-0bb0-41a7-b78f-084b382b3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612B33-735E-413D-A97E-D0015D94B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6A4A6-58F8-49DA-AE5B-B7DFE1353978}">
  <ds:schemaRefs>
    <ds:schemaRef ds:uri="df38bbad-0bb0-41a7-b78f-084b382b3af7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314CEEB-7D3B-490F-8A50-1626A47C4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8bbad-0bb0-41a7-b78f-084b382b3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Cover Page </vt:lpstr>
      <vt:lpstr>Table 1 WASDE</vt:lpstr>
      <vt:lpstr>Table 2 Mexico</vt:lpstr>
      <vt:lpstr>Table 3A WTO Raw  </vt:lpstr>
      <vt:lpstr>Table 3B Raw  </vt:lpstr>
      <vt:lpstr>Table 4 Refined</vt:lpstr>
      <vt:lpstr>Table 5 FTAs </vt:lpstr>
      <vt:lpstr>Tables 6,7 Re-Export </vt:lpstr>
      <vt:lpstr>Table 8A FY 2022 </vt:lpstr>
      <vt:lpstr>Table 8B FY 2023</vt:lpstr>
      <vt:lpstr>Table 9 Re-Export </vt:lpstr>
      <vt:lpstr>Table 10 High Duty </vt:lpstr>
      <vt:lpstr>Tables 11A,11B SCP</vt:lpstr>
      <vt:lpstr>'Cover Page '!Print_Area</vt:lpstr>
      <vt:lpstr>'Table 1 WASDE'!Print_Area</vt:lpstr>
      <vt:lpstr>'Table 2 Mexico'!Print_Area</vt:lpstr>
      <vt:lpstr>'Table 3A WTO Raw  '!Print_Area</vt:lpstr>
      <vt:lpstr>'Table 3B Raw  '!Print_Area</vt:lpstr>
      <vt:lpstr>'Table 4 Refined'!Print_Area</vt:lpstr>
      <vt:lpstr>'Table 5 FTAs '!Print_Area</vt:lpstr>
      <vt:lpstr>'Table 8A FY 2022 '!Print_Area</vt:lpstr>
      <vt:lpstr>'Table 8B FY 2023'!Print_Area</vt:lpstr>
      <vt:lpstr>'Table 9 Re-Export '!Print_Area</vt:lpstr>
      <vt:lpstr>'Tables 11A,11B SCP'!Print_Area</vt:lpstr>
      <vt:lpstr>'Tables 6,7 Re-Export '!Print_Area</vt:lpstr>
    </vt:vector>
  </TitlesOfParts>
  <Manager/>
  <Company>USDA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janisw</dc:creator>
  <cp:keywords/>
  <dc:description/>
  <cp:lastModifiedBy>Diaby, Souleymane - FAS</cp:lastModifiedBy>
  <cp:revision/>
  <cp:lastPrinted>2022-08-09T16:24:00Z</cp:lastPrinted>
  <dcterms:created xsi:type="dcterms:W3CDTF">2008-01-25T21:12:54Z</dcterms:created>
  <dcterms:modified xsi:type="dcterms:W3CDTF">2022-08-10T14:38:47Z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0x010100B45F41949DA2A940B8D082ECAF8F142D</vt:lpwstr>
  </property>
</Properties>
</file>